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7400" windowHeight="11310" firstSheet="2" activeTab="6"/>
  </bookViews>
  <sheets>
    <sheet name="Замовлення товарів" sheetId="1" r:id="rId1"/>
    <sheet name="Вміст замовлення" sheetId="2" r:id="rId2"/>
    <sheet name="Довідник фірм" sheetId="3" r:id="rId3"/>
    <sheet name="Довідник товарів" sheetId="4" r:id="rId4"/>
    <sheet name="Довідник країн-виробників" sheetId="5" r:id="rId5"/>
    <sheet name="Звіт 1" sheetId="6" r:id="rId6"/>
    <sheet name="Звіт 2" sheetId="7" r:id="rId7"/>
    <sheet name="Звіт 3" sheetId="8" r:id="rId8"/>
  </sheets>
  <definedNames/>
  <calcPr fullCalcOnLoad="1"/>
</workbook>
</file>

<file path=xl/sharedStrings.xml><?xml version="1.0" encoding="utf-8"?>
<sst xmlns="http://schemas.openxmlformats.org/spreadsheetml/2006/main" count="111" uniqueCount="73">
  <si>
    <t>Номер замовлення</t>
  </si>
  <si>
    <t>Код фірми</t>
  </si>
  <si>
    <t>Дата замовлення</t>
  </si>
  <si>
    <t>Дата оплати</t>
  </si>
  <si>
    <t>Назва фірми</t>
  </si>
  <si>
    <t>Реставрація</t>
  </si>
  <si>
    <t>ЮКЕН</t>
  </si>
  <si>
    <t>АЛЬТАІР</t>
  </si>
  <si>
    <t>АІМ</t>
  </si>
  <si>
    <t>Телефон</t>
  </si>
  <si>
    <t>228-06-94</t>
  </si>
  <si>
    <t>435-61-92</t>
  </si>
  <si>
    <t>442-91-74</t>
  </si>
  <si>
    <t>224-50-71</t>
  </si>
  <si>
    <t>Код товару</t>
  </si>
  <si>
    <t>Кількість, м2</t>
  </si>
  <si>
    <t>Назва товару</t>
  </si>
  <si>
    <t xml:space="preserve">Панелі </t>
  </si>
  <si>
    <t>Шпалери акрилові</t>
  </si>
  <si>
    <t>Лінолеум</t>
  </si>
  <si>
    <t>Плінтус</t>
  </si>
  <si>
    <t>Підвісні стелі</t>
  </si>
  <si>
    <t>Паркет</t>
  </si>
  <si>
    <t>Декоративні панелі</t>
  </si>
  <si>
    <t>Декоративні шпалери</t>
  </si>
  <si>
    <t>Код країни</t>
  </si>
  <si>
    <t>Роздрібна ціна, у. о. за 1 м2</t>
  </si>
  <si>
    <t>Оптова ціна, у. о. за 1 м2</t>
  </si>
  <si>
    <t>Назва країни</t>
  </si>
  <si>
    <t>Бельгія</t>
  </si>
  <si>
    <t>Німеччина</t>
  </si>
  <si>
    <t>Голландія</t>
  </si>
  <si>
    <t>Україна</t>
  </si>
  <si>
    <t>Франція</t>
  </si>
  <si>
    <t>Звіт 1. Аналіз попиту товарів за кварталами</t>
  </si>
  <si>
    <t>Назва фірми, телефон</t>
  </si>
  <si>
    <t>Місяць</t>
  </si>
  <si>
    <t>Кількість</t>
  </si>
  <si>
    <t>Ціна</t>
  </si>
  <si>
    <t>Вартість</t>
  </si>
  <si>
    <t>AIM</t>
  </si>
  <si>
    <t>Дано</t>
  </si>
  <si>
    <t>Результат</t>
  </si>
  <si>
    <t>Дата</t>
  </si>
  <si>
    <t>номер</t>
  </si>
  <si>
    <t>товар</t>
  </si>
  <si>
    <t>кількість</t>
  </si>
  <si>
    <t>ручка</t>
  </si>
  <si>
    <t>книга</t>
  </si>
  <si>
    <t>зошит</t>
  </si>
  <si>
    <t>пенал</t>
  </si>
  <si>
    <t>сумка</t>
  </si>
  <si>
    <t>ціна</t>
  </si>
  <si>
    <t>не оплачено</t>
  </si>
  <si>
    <t>Звіт 3. Аналіз попиту товарів за клієнтами</t>
  </si>
  <si>
    <t xml:space="preserve">Звіт 2. Аналіз попиту товарів </t>
  </si>
  <si>
    <t>1 Итог</t>
  </si>
  <si>
    <t>2 Итог</t>
  </si>
  <si>
    <t>11 Итог</t>
  </si>
  <si>
    <t>12 Итог</t>
  </si>
  <si>
    <t>Общий итог</t>
  </si>
  <si>
    <t>Декоративні панелі Итог</t>
  </si>
  <si>
    <t>Декоративні шпалери Итог</t>
  </si>
  <si>
    <t>Лінолеум Итог</t>
  </si>
  <si>
    <t>Панелі  Итог</t>
  </si>
  <si>
    <t>Паркет Итог</t>
  </si>
  <si>
    <t>Підвісні стелі Итог</t>
  </si>
  <si>
    <t>Плінтус Итог</t>
  </si>
  <si>
    <t>Шпалери акрилові Итог</t>
  </si>
  <si>
    <t>АІМ Итог</t>
  </si>
  <si>
    <t>АЛЬТАІР Итог</t>
  </si>
  <si>
    <t>Реставрація Итог</t>
  </si>
  <si>
    <t>ЮКЕН Итог</t>
  </si>
</sst>
</file>

<file path=xl/styles.xml><?xml version="1.0" encoding="utf-8"?>
<styleSheet xmlns="http://schemas.openxmlformats.org/spreadsheetml/2006/main">
  <numFmts count="1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  <numFmt numFmtId="174" formatCode="0.0"/>
  </numFmts>
  <fonts count="48">
    <font>
      <sz val="10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b/>
      <sz val="10"/>
      <name val="Arial Cyr"/>
      <family val="0"/>
    </font>
    <font>
      <b/>
      <sz val="10"/>
      <color indexed="53"/>
      <name val="Arial Cyr"/>
      <family val="0"/>
    </font>
    <font>
      <b/>
      <sz val="10"/>
      <color indexed="50"/>
      <name val="Arial Cyr"/>
      <family val="0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indexed="48"/>
      <name val="Calibri"/>
      <family val="0"/>
    </font>
    <font>
      <i/>
      <sz val="10"/>
      <color indexed="4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7"/>
      <name val="Calibri"/>
      <family val="0"/>
    </font>
    <font>
      <b/>
      <sz val="10"/>
      <color indexed="8"/>
      <name val="Calibri"/>
      <family val="0"/>
    </font>
    <font>
      <b/>
      <i/>
      <sz val="10"/>
      <color indexed="62"/>
      <name val="Calibri"/>
      <family val="0"/>
    </font>
    <font>
      <b/>
      <sz val="2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173" fontId="0" fillId="0" borderId="0" xfId="0" applyNumberFormat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7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14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0" fillId="0" borderId="0" xfId="0" applyNumberFormat="1" applyBorder="1" applyAlignment="1">
      <alignment wrapText="1"/>
    </xf>
    <xf numFmtId="2" fontId="3" fillId="0" borderId="0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3" fontId="0" fillId="0" borderId="10" xfId="0" applyNumberFormat="1" applyBorder="1" applyAlignment="1">
      <alignment horizontal="center" wrapText="1"/>
    </xf>
    <xf numFmtId="2" fontId="0" fillId="0" borderId="10" xfId="0" applyNumberFormat="1" applyBorder="1" applyAlignment="1">
      <alignment wrapText="1"/>
    </xf>
    <xf numFmtId="173" fontId="0" fillId="0" borderId="0" xfId="0" applyNumberFormat="1" applyBorder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2" fontId="0" fillId="0" borderId="10" xfId="0" applyNumberFormat="1" applyFont="1" applyBorder="1" applyAlignment="1">
      <alignment wrapText="1"/>
    </xf>
    <xf numFmtId="173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wrapText="1"/>
    </xf>
    <xf numFmtId="2" fontId="0" fillId="0" borderId="0" xfId="0" applyNumberFormat="1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Кількість та вартість товарів</a:t>
            </a:r>
          </a:p>
        </c:rich>
      </c:tx>
      <c:layout>
        <c:manualLayout>
          <c:xMode val="factor"/>
          <c:yMode val="factor"/>
          <c:x val="-0.12625"/>
          <c:y val="-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65"/>
          <c:y val="0.083"/>
          <c:w val="0.836"/>
          <c:h val="0.854"/>
        </c:manualLayout>
      </c:layout>
      <c:barChart>
        <c:barDir val="col"/>
        <c:grouping val="clustered"/>
        <c:varyColors val="0"/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'Звіт 2'!$A$7:$A$55</c:f>
              <c:strCache/>
            </c:strRef>
          </c:cat>
          <c:val>
            <c:numRef>
              <c:f>'Звіт 2'!$G$7:$G$55</c:f>
              <c:numCache/>
            </c:numRef>
          </c:val>
        </c:ser>
        <c:axId val="56166798"/>
        <c:axId val="35739135"/>
      </c:barChar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3366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3366FF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'Звіт 2'!$A$7:$A$55</c:f>
              <c:strCache/>
            </c:strRef>
          </c:cat>
          <c:val>
            <c:numRef>
              <c:f>'Звіт 2'!$E$7:$E$55</c:f>
              <c:numCache/>
            </c:numRef>
          </c:val>
          <c:smooth val="0"/>
        </c:ser>
        <c:axId val="53216760"/>
        <c:axId val="9188793"/>
      </c:lineChart>
      <c:catAx>
        <c:axId val="56166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8000"/>
                    </a:solidFill>
                  </a:rPr>
                  <a:t>Назви товарів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739135"/>
        <c:crosses val="autoZero"/>
        <c:auto val="1"/>
        <c:lblOffset val="100"/>
        <c:tickLblSkip val="1"/>
        <c:noMultiLvlLbl val="0"/>
      </c:catAx>
      <c:valAx>
        <c:axId val="357391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Вартість товару, грн.</a:t>
                </a:r>
              </a:p>
            </c:rich>
          </c:tx>
          <c:layout>
            <c:manualLayout>
              <c:xMode val="factor"/>
              <c:yMode val="factor"/>
              <c:x val="-0.00025"/>
              <c:y val="0.001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FF0000"/>
                </a:solidFill>
              </a:defRPr>
            </a:pPr>
          </a:p>
        </c:txPr>
        <c:crossAx val="56166798"/>
        <c:crossesAt val="1"/>
        <c:crossBetween val="between"/>
        <c:dispUnits/>
      </c:valAx>
      <c:catAx>
        <c:axId val="53216760"/>
        <c:scaling>
          <c:orientation val="minMax"/>
        </c:scaling>
        <c:axPos val="b"/>
        <c:delete val="1"/>
        <c:majorTickMark val="out"/>
        <c:minorTickMark val="none"/>
        <c:tickLblPos val="none"/>
        <c:crossAx val="9188793"/>
        <c:crosses val="autoZero"/>
        <c:auto val="1"/>
        <c:lblOffset val="100"/>
        <c:tickLblSkip val="1"/>
        <c:noMultiLvlLbl val="0"/>
      </c:catAx>
      <c:valAx>
        <c:axId val="91887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1" u="none" baseline="0">
                    <a:solidFill>
                      <a:srgbClr val="333399"/>
                    </a:solidFill>
                  </a:rPr>
                  <a:t>Кількість товру</a:t>
                </a:r>
              </a:p>
            </c:rich>
          </c:tx>
          <c:layout>
            <c:manualLayout>
              <c:xMode val="factor"/>
              <c:yMode val="factor"/>
              <c:x val="0.0002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1000" b="1" i="0" u="none" baseline="0">
                <a:solidFill>
                  <a:srgbClr val="3366FF"/>
                </a:solidFill>
              </a:defRPr>
            </a:pPr>
          </a:p>
        </c:txPr>
        <c:crossAx val="53216760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5"/>
          <c:y val="0.49525"/>
          <c:w val="0.079"/>
          <c:h val="0.090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gradFill rotWithShape="1">
      <a:gsLst>
        <a:gs pos="0">
          <a:srgbClr val="9AB5E4"/>
        </a:gs>
        <a:gs pos="50000">
          <a:srgbClr val="C2D1ED"/>
        </a:gs>
        <a:gs pos="100000">
          <a:srgbClr val="E1E8F5"/>
        </a:gs>
      </a:gsLst>
      <a:lin ang="5400000" scaled="1"/>
    </a:gra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10</xdr:row>
      <xdr:rowOff>85725</xdr:rowOff>
    </xdr:from>
    <xdr:to>
      <xdr:col>20</xdr:col>
      <xdr:colOff>180975</xdr:colOff>
      <xdr:row>79</xdr:row>
      <xdr:rowOff>95250</xdr:rowOff>
    </xdr:to>
    <xdr:graphicFrame>
      <xdr:nvGraphicFramePr>
        <xdr:cNvPr id="1" name="Диаграмма 2"/>
        <xdr:cNvGraphicFramePr/>
      </xdr:nvGraphicFramePr>
      <xdr:xfrm>
        <a:off x="7372350" y="771525"/>
        <a:ext cx="9296400" cy="5029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17.625" style="1" bestFit="1" customWidth="1"/>
    <col min="2" max="2" width="9.875" style="1" bestFit="1" customWidth="1"/>
    <col min="3" max="3" width="15.875" style="1" bestFit="1" customWidth="1"/>
    <col min="4" max="4" width="11.625" style="1" bestFit="1" customWidth="1"/>
    <col min="5" max="16384" width="9.125" style="1" customWidth="1"/>
  </cols>
  <sheetData>
    <row r="1" spans="1:4" ht="12.75">
      <c r="A1" s="3" t="s">
        <v>0</v>
      </c>
      <c r="B1" s="4" t="s">
        <v>1</v>
      </c>
      <c r="C1" s="4" t="s">
        <v>2</v>
      </c>
      <c r="D1" s="4" t="s">
        <v>3</v>
      </c>
    </row>
    <row r="2" spans="1:4" ht="12.75">
      <c r="A2" s="4">
        <v>1</v>
      </c>
      <c r="B2" s="4">
        <v>111</v>
      </c>
      <c r="C2" s="5">
        <v>39754</v>
      </c>
      <c r="D2" s="5">
        <v>39757</v>
      </c>
    </row>
    <row r="3" spans="1:4" ht="12.75">
      <c r="A3" s="4">
        <v>2</v>
      </c>
      <c r="B3" s="4">
        <v>222</v>
      </c>
      <c r="C3" s="5">
        <v>39763</v>
      </c>
      <c r="D3" s="5">
        <v>39770</v>
      </c>
    </row>
    <row r="4" spans="1:4" ht="12.75">
      <c r="A4" s="4">
        <v>3</v>
      </c>
      <c r="B4" s="4">
        <v>333</v>
      </c>
      <c r="C4" s="5">
        <v>39769</v>
      </c>
      <c r="D4" s="32" t="s">
        <v>53</v>
      </c>
    </row>
    <row r="5" spans="1:4" ht="12.75">
      <c r="A5" s="4">
        <v>4</v>
      </c>
      <c r="B5" s="4">
        <v>444</v>
      </c>
      <c r="C5" s="5">
        <v>39778</v>
      </c>
      <c r="D5" s="5">
        <v>39791</v>
      </c>
    </row>
    <row r="6" spans="1:4" ht="12.75">
      <c r="A6" s="4">
        <v>5</v>
      </c>
      <c r="B6" s="4">
        <v>111</v>
      </c>
      <c r="C6" s="5">
        <v>39781</v>
      </c>
      <c r="D6" s="32" t="s">
        <v>53</v>
      </c>
    </row>
    <row r="7" spans="1:4" ht="12.75">
      <c r="A7" s="4">
        <v>6</v>
      </c>
      <c r="B7" s="4">
        <v>222</v>
      </c>
      <c r="C7" s="5">
        <v>39784</v>
      </c>
      <c r="D7" s="5">
        <v>39799</v>
      </c>
    </row>
    <row r="8" spans="1:4" ht="12.75">
      <c r="A8" s="4">
        <v>7</v>
      </c>
      <c r="B8" s="4">
        <v>333</v>
      </c>
      <c r="C8" s="5">
        <v>39793</v>
      </c>
      <c r="D8" s="5">
        <v>39812</v>
      </c>
    </row>
    <row r="9" spans="1:4" ht="12.75">
      <c r="A9" s="4">
        <v>8</v>
      </c>
      <c r="B9" s="4">
        <v>444</v>
      </c>
      <c r="C9" s="5">
        <v>39796</v>
      </c>
      <c r="D9" s="32" t="s">
        <v>53</v>
      </c>
    </row>
    <row r="10" spans="1:4" ht="12.75">
      <c r="A10" s="4">
        <v>9</v>
      </c>
      <c r="B10" s="4">
        <v>111</v>
      </c>
      <c r="C10" s="5">
        <v>39807</v>
      </c>
      <c r="D10" s="5">
        <v>39818</v>
      </c>
    </row>
    <row r="11" spans="1:4" ht="12.75">
      <c r="A11" s="4">
        <v>10</v>
      </c>
      <c r="B11" s="4">
        <v>222</v>
      </c>
      <c r="C11" s="5">
        <v>39812</v>
      </c>
      <c r="D11" s="32" t="s">
        <v>53</v>
      </c>
    </row>
    <row r="12" spans="1:4" ht="12.75">
      <c r="A12" s="4">
        <v>11</v>
      </c>
      <c r="B12" s="4">
        <v>333</v>
      </c>
      <c r="C12" s="5">
        <v>39819</v>
      </c>
      <c r="D12" s="32" t="s">
        <v>53</v>
      </c>
    </row>
    <row r="13" spans="1:4" ht="12.75">
      <c r="A13" s="4">
        <v>12</v>
      </c>
      <c r="B13" s="4">
        <v>444</v>
      </c>
      <c r="C13" s="5">
        <v>39828</v>
      </c>
      <c r="D13" s="5">
        <v>39835</v>
      </c>
    </row>
    <row r="14" spans="1:4" ht="12.75">
      <c r="A14" s="4">
        <v>13</v>
      </c>
      <c r="B14" s="4">
        <v>111</v>
      </c>
      <c r="C14" s="5">
        <v>39834</v>
      </c>
      <c r="D14" s="5">
        <v>39851</v>
      </c>
    </row>
    <row r="15" spans="1:4" ht="12.75">
      <c r="A15" s="4">
        <v>14</v>
      </c>
      <c r="B15" s="4">
        <v>222</v>
      </c>
      <c r="C15" s="5">
        <v>39844</v>
      </c>
      <c r="D15" s="5">
        <v>39856</v>
      </c>
    </row>
    <row r="16" spans="1:4" ht="12.75">
      <c r="A16" s="4">
        <v>15</v>
      </c>
      <c r="B16" s="4">
        <v>333</v>
      </c>
      <c r="C16" s="5">
        <v>39849</v>
      </c>
      <c r="D16" s="32" t="s">
        <v>53</v>
      </c>
    </row>
    <row r="17" spans="1:4" ht="12.75">
      <c r="A17" s="4">
        <v>16</v>
      </c>
      <c r="B17" s="4">
        <v>444</v>
      </c>
      <c r="C17" s="5">
        <v>39855</v>
      </c>
      <c r="D17" s="5">
        <v>39872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="90" zoomScaleNormal="90" zoomScalePageLayoutView="0" workbookViewId="0" topLeftCell="A1">
      <selection activeCell="B32" sqref="B32"/>
    </sheetView>
  </sheetViews>
  <sheetFormatPr defaultColWidth="9.00390625" defaultRowHeight="12.75"/>
  <cols>
    <col min="1" max="1" width="19.125" style="1" bestFit="1" customWidth="1"/>
    <col min="2" max="2" width="10.75390625" style="1" bestFit="1" customWidth="1"/>
    <col min="3" max="3" width="12.75390625" style="1" bestFit="1" customWidth="1"/>
    <col min="5" max="16384" width="9.125" style="1" customWidth="1"/>
  </cols>
  <sheetData>
    <row r="1" spans="1:3" ht="13.5" thickBot="1">
      <c r="A1" s="9" t="s">
        <v>0</v>
      </c>
      <c r="B1" s="9" t="s">
        <v>14</v>
      </c>
      <c r="C1" s="9" t="s">
        <v>15</v>
      </c>
    </row>
    <row r="2" spans="1:3" ht="13.5" thickTop="1">
      <c r="A2" s="6">
        <v>1</v>
      </c>
      <c r="B2" s="6">
        <v>11</v>
      </c>
      <c r="C2" s="6">
        <v>400</v>
      </c>
    </row>
    <row r="3" spans="1:3" ht="12.75">
      <c r="A3" s="4">
        <v>1</v>
      </c>
      <c r="B3" s="4">
        <v>12</v>
      </c>
      <c r="C3" s="4">
        <v>150</v>
      </c>
    </row>
    <row r="4" spans="1:3" ht="12.75">
      <c r="A4" s="4">
        <v>1</v>
      </c>
      <c r="B4" s="4">
        <v>13</v>
      </c>
      <c r="C4" s="4">
        <v>800</v>
      </c>
    </row>
    <row r="5" spans="1:3" ht="12.75">
      <c r="A5" s="4">
        <v>2</v>
      </c>
      <c r="B5" s="4">
        <v>14</v>
      </c>
      <c r="C5" s="4">
        <v>90</v>
      </c>
    </row>
    <row r="6" spans="1:3" ht="12.75">
      <c r="A6" s="4">
        <v>2</v>
      </c>
      <c r="B6" s="4">
        <v>15</v>
      </c>
      <c r="C6" s="4">
        <v>400</v>
      </c>
    </row>
    <row r="7" spans="1:3" ht="12.75">
      <c r="A7" s="4">
        <v>2</v>
      </c>
      <c r="B7" s="4">
        <v>16</v>
      </c>
      <c r="C7" s="4">
        <v>200</v>
      </c>
    </row>
    <row r="8" spans="1:3" ht="12.75">
      <c r="A8" s="4">
        <v>3</v>
      </c>
      <c r="B8" s="4">
        <v>17</v>
      </c>
      <c r="C8" s="4">
        <v>45</v>
      </c>
    </row>
    <row r="9" spans="1:3" ht="12.75">
      <c r="A9" s="4">
        <v>3</v>
      </c>
      <c r="B9" s="4">
        <v>18</v>
      </c>
      <c r="C9" s="4">
        <v>120</v>
      </c>
    </row>
    <row r="10" spans="1:3" ht="12.75">
      <c r="A10" s="4">
        <v>3</v>
      </c>
      <c r="B10" s="4">
        <v>19</v>
      </c>
      <c r="C10" s="4">
        <v>300</v>
      </c>
    </row>
    <row r="11" spans="1:3" ht="12.75">
      <c r="A11" s="4">
        <v>4</v>
      </c>
      <c r="B11" s="4">
        <v>20</v>
      </c>
      <c r="C11" s="4">
        <v>100</v>
      </c>
    </row>
    <row r="12" spans="1:3" ht="12.75">
      <c r="A12" s="4">
        <v>4</v>
      </c>
      <c r="B12" s="4">
        <v>21</v>
      </c>
      <c r="C12" s="4">
        <v>600</v>
      </c>
    </row>
    <row r="13" spans="1:3" ht="12.75">
      <c r="A13" s="4">
        <v>4</v>
      </c>
      <c r="B13" s="4">
        <v>12</v>
      </c>
      <c r="C13" s="4">
        <v>550</v>
      </c>
    </row>
    <row r="14" spans="1:3" ht="12.75">
      <c r="A14" s="4">
        <v>5</v>
      </c>
      <c r="B14" s="4">
        <v>18</v>
      </c>
      <c r="C14" s="4">
        <v>200</v>
      </c>
    </row>
    <row r="15" spans="1:3" ht="12.75">
      <c r="A15" s="4">
        <v>5</v>
      </c>
      <c r="B15" s="4">
        <v>17</v>
      </c>
      <c r="C15" s="4">
        <v>50</v>
      </c>
    </row>
    <row r="16" spans="1:3" ht="12.75">
      <c r="A16" s="4">
        <v>5</v>
      </c>
      <c r="B16" s="4">
        <v>19</v>
      </c>
      <c r="C16" s="4">
        <v>250</v>
      </c>
    </row>
    <row r="17" spans="1:3" ht="12.75">
      <c r="A17" s="4">
        <v>6</v>
      </c>
      <c r="B17" s="4">
        <v>17</v>
      </c>
      <c r="C17" s="4">
        <v>180</v>
      </c>
    </row>
    <row r="18" spans="1:3" ht="12.75">
      <c r="A18" s="4">
        <v>6</v>
      </c>
      <c r="B18" s="4">
        <v>11</v>
      </c>
      <c r="C18" s="4">
        <v>200</v>
      </c>
    </row>
    <row r="19" spans="1:3" ht="12.75">
      <c r="A19" s="4">
        <v>6</v>
      </c>
      <c r="B19" s="4">
        <v>16</v>
      </c>
      <c r="C19" s="4">
        <v>250</v>
      </c>
    </row>
    <row r="20" spans="1:3" ht="12.75">
      <c r="A20" s="4">
        <v>6</v>
      </c>
      <c r="B20" s="4">
        <v>13</v>
      </c>
      <c r="C20" s="4">
        <v>300</v>
      </c>
    </row>
    <row r="21" spans="1:3" ht="12.75">
      <c r="A21" s="4">
        <v>7</v>
      </c>
      <c r="B21" s="4">
        <v>14</v>
      </c>
      <c r="C21" s="4">
        <v>350</v>
      </c>
    </row>
    <row r="22" spans="1:3" ht="12.75">
      <c r="A22" s="4">
        <v>7</v>
      </c>
      <c r="B22" s="4">
        <v>15</v>
      </c>
      <c r="C22" s="4">
        <v>100</v>
      </c>
    </row>
    <row r="23" spans="1:3" ht="12.75">
      <c r="A23" s="4">
        <v>8</v>
      </c>
      <c r="B23" s="4">
        <v>16</v>
      </c>
      <c r="C23" s="4">
        <v>150</v>
      </c>
    </row>
    <row r="24" spans="1:3" ht="12.75">
      <c r="A24" s="4">
        <v>8</v>
      </c>
      <c r="B24" s="4">
        <v>17</v>
      </c>
      <c r="C24" s="4">
        <v>50</v>
      </c>
    </row>
    <row r="25" spans="1:3" ht="12.75">
      <c r="A25" s="4">
        <v>9</v>
      </c>
      <c r="B25" s="4">
        <v>19</v>
      </c>
      <c r="C25" s="4">
        <v>130</v>
      </c>
    </row>
    <row r="26" spans="1:3" ht="12.75">
      <c r="A26" s="4">
        <v>9</v>
      </c>
      <c r="B26" s="4">
        <v>20</v>
      </c>
      <c r="C26" s="4">
        <v>240</v>
      </c>
    </row>
    <row r="27" spans="1:3" ht="12.75">
      <c r="A27" s="4">
        <v>9</v>
      </c>
      <c r="B27" s="4">
        <v>21</v>
      </c>
      <c r="C27" s="4">
        <v>360</v>
      </c>
    </row>
    <row r="28" spans="1:3" ht="12.75">
      <c r="A28" s="4">
        <v>10</v>
      </c>
      <c r="B28" s="4">
        <v>12</v>
      </c>
      <c r="C28" s="4">
        <v>280</v>
      </c>
    </row>
    <row r="29" spans="1:3" ht="12.75">
      <c r="A29" s="4">
        <v>10</v>
      </c>
      <c r="B29" s="4">
        <v>18</v>
      </c>
      <c r="C29" s="4">
        <v>320</v>
      </c>
    </row>
    <row r="30" spans="1:3" ht="12.75">
      <c r="A30" s="4">
        <v>10</v>
      </c>
      <c r="B30" s="4">
        <v>17</v>
      </c>
      <c r="C30" s="4">
        <v>210</v>
      </c>
    </row>
    <row r="31" spans="1:3" ht="12.75">
      <c r="A31" s="4">
        <v>10</v>
      </c>
      <c r="B31" s="4">
        <v>19</v>
      </c>
      <c r="C31" s="4">
        <v>160</v>
      </c>
    </row>
    <row r="32" spans="1:3" ht="12.75">
      <c r="A32" s="4">
        <v>11</v>
      </c>
      <c r="B32" s="4">
        <v>17</v>
      </c>
      <c r="C32" s="4">
        <v>100</v>
      </c>
    </row>
    <row r="33" spans="1:3" ht="12.75">
      <c r="A33" s="4">
        <v>11</v>
      </c>
      <c r="B33" s="4">
        <v>11</v>
      </c>
      <c r="C33" s="4">
        <v>50</v>
      </c>
    </row>
    <row r="34" spans="1:3" ht="12.75">
      <c r="A34" s="4">
        <v>12</v>
      </c>
      <c r="B34" s="4">
        <v>12</v>
      </c>
      <c r="C34" s="4">
        <v>120</v>
      </c>
    </row>
    <row r="35" spans="1:3" ht="12.75">
      <c r="A35" s="4">
        <v>12</v>
      </c>
      <c r="B35" s="4">
        <v>20</v>
      </c>
      <c r="C35" s="4">
        <v>240</v>
      </c>
    </row>
    <row r="36" spans="1:3" ht="12.75">
      <c r="A36" s="4">
        <v>13</v>
      </c>
      <c r="B36" s="4">
        <v>21</v>
      </c>
      <c r="C36" s="4">
        <v>50</v>
      </c>
    </row>
    <row r="37" spans="1:3" ht="12.75">
      <c r="A37" s="4">
        <v>13</v>
      </c>
      <c r="B37" s="4">
        <v>12</v>
      </c>
      <c r="C37" s="4">
        <v>100</v>
      </c>
    </row>
    <row r="38" spans="1:3" ht="12.75">
      <c r="A38" s="4">
        <v>13</v>
      </c>
      <c r="B38" s="4">
        <v>18</v>
      </c>
      <c r="C38" s="4">
        <v>120</v>
      </c>
    </row>
    <row r="39" spans="1:3" ht="12.75">
      <c r="A39" s="4">
        <v>14</v>
      </c>
      <c r="B39" s="4">
        <v>17</v>
      </c>
      <c r="C39" s="4">
        <v>190</v>
      </c>
    </row>
    <row r="40" spans="1:3" ht="12.75">
      <c r="A40" s="4">
        <v>14</v>
      </c>
      <c r="B40" s="4">
        <v>11</v>
      </c>
      <c r="C40" s="4">
        <v>200</v>
      </c>
    </row>
    <row r="41" spans="1:3" ht="12.75">
      <c r="A41" s="4">
        <v>15</v>
      </c>
      <c r="B41" s="4">
        <v>16</v>
      </c>
      <c r="C41" s="4">
        <v>150</v>
      </c>
    </row>
    <row r="42" spans="1:3" ht="12.75">
      <c r="A42" s="4">
        <v>15</v>
      </c>
      <c r="B42" s="4">
        <v>17</v>
      </c>
      <c r="C42" s="4">
        <v>90</v>
      </c>
    </row>
    <row r="43" spans="1:3" ht="12.75">
      <c r="A43" s="4">
        <v>15</v>
      </c>
      <c r="B43" s="4">
        <v>18</v>
      </c>
      <c r="C43" s="4">
        <v>80</v>
      </c>
    </row>
    <row r="44" spans="1:3" ht="12.75">
      <c r="A44" s="4">
        <v>16</v>
      </c>
      <c r="B44" s="4">
        <v>19</v>
      </c>
      <c r="C44" s="4">
        <v>70</v>
      </c>
    </row>
    <row r="45" spans="1:3" ht="12.75">
      <c r="A45" s="4">
        <v>16</v>
      </c>
      <c r="B45" s="4">
        <v>20</v>
      </c>
      <c r="C45" s="4">
        <v>160</v>
      </c>
    </row>
    <row r="46" spans="1:3" ht="12.75">
      <c r="A46" s="4">
        <v>16</v>
      </c>
      <c r="B46" s="4">
        <v>12</v>
      </c>
      <c r="C46" s="4">
        <v>120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9.875" style="1" bestFit="1" customWidth="1"/>
    <col min="2" max="2" width="11.75390625" style="1" bestFit="1" customWidth="1"/>
    <col min="3" max="3" width="9.125" style="1" bestFit="1" customWidth="1"/>
    <col min="4" max="16384" width="9.125" style="1" customWidth="1"/>
  </cols>
  <sheetData>
    <row r="1" spans="1:3" ht="13.5" thickBot="1">
      <c r="A1" s="9" t="s">
        <v>1</v>
      </c>
      <c r="B1" s="9" t="s">
        <v>4</v>
      </c>
      <c r="C1" s="9" t="s">
        <v>9</v>
      </c>
    </row>
    <row r="2" spans="1:3" ht="13.5" thickTop="1">
      <c r="A2" s="6">
        <v>111</v>
      </c>
      <c r="B2" s="6" t="s">
        <v>5</v>
      </c>
      <c r="C2" s="6" t="s">
        <v>10</v>
      </c>
    </row>
    <row r="3" spans="1:3" ht="12.75">
      <c r="A3" s="4">
        <v>222</v>
      </c>
      <c r="B3" s="4" t="s">
        <v>6</v>
      </c>
      <c r="C3" s="4" t="s">
        <v>11</v>
      </c>
    </row>
    <row r="4" spans="1:3" ht="12.75">
      <c r="A4" s="4">
        <v>333</v>
      </c>
      <c r="B4" s="4" t="s">
        <v>7</v>
      </c>
      <c r="C4" s="4" t="s">
        <v>12</v>
      </c>
    </row>
    <row r="5" spans="1:3" ht="12.75">
      <c r="A5" s="4">
        <v>444</v>
      </c>
      <c r="B5" s="4" t="s">
        <v>8</v>
      </c>
      <c r="C5" s="4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6.75390625" style="1" bestFit="1" customWidth="1"/>
    <col min="2" max="2" width="19.75390625" style="1" bestFit="1" customWidth="1"/>
    <col min="3" max="3" width="10.125" style="1" bestFit="1" customWidth="1"/>
    <col min="4" max="4" width="9.75390625" style="1" bestFit="1" customWidth="1"/>
    <col min="5" max="5" width="11.75390625" style="1" bestFit="1" customWidth="1"/>
    <col min="6" max="16384" width="9.125" style="1" customWidth="1"/>
  </cols>
  <sheetData>
    <row r="1" spans="1:5" ht="39" thickBot="1">
      <c r="A1" s="8" t="s">
        <v>14</v>
      </c>
      <c r="B1" s="9" t="s">
        <v>16</v>
      </c>
      <c r="C1" s="9" t="s">
        <v>25</v>
      </c>
      <c r="D1" s="8" t="s">
        <v>26</v>
      </c>
      <c r="E1" s="8" t="s">
        <v>27</v>
      </c>
    </row>
    <row r="2" spans="1:5" ht="13.5" thickTop="1">
      <c r="A2" s="6">
        <v>11</v>
      </c>
      <c r="B2" s="6" t="s">
        <v>17</v>
      </c>
      <c r="C2" s="6">
        <v>10</v>
      </c>
      <c r="D2" s="6">
        <v>5.9</v>
      </c>
      <c r="E2" s="6">
        <v>5.6</v>
      </c>
    </row>
    <row r="3" spans="1:5" ht="12.75">
      <c r="A3" s="4">
        <v>12</v>
      </c>
      <c r="B3" s="4" t="s">
        <v>18</v>
      </c>
      <c r="C3" s="4">
        <v>20</v>
      </c>
      <c r="D3" s="4">
        <v>13.3</v>
      </c>
      <c r="E3" s="4">
        <v>12.8</v>
      </c>
    </row>
    <row r="4" spans="1:5" ht="12.75">
      <c r="A4" s="4">
        <v>13</v>
      </c>
      <c r="B4" s="4" t="s">
        <v>19</v>
      </c>
      <c r="C4" s="4">
        <v>20</v>
      </c>
      <c r="D4" s="4">
        <v>5.9</v>
      </c>
      <c r="E4" s="4">
        <v>5.3</v>
      </c>
    </row>
    <row r="5" spans="1:5" ht="12.75">
      <c r="A5" s="4">
        <v>14</v>
      </c>
      <c r="B5" s="4" t="s">
        <v>17</v>
      </c>
      <c r="C5" s="4">
        <v>30</v>
      </c>
      <c r="D5" s="4">
        <v>5.45</v>
      </c>
      <c r="E5" s="4">
        <v>5.35</v>
      </c>
    </row>
    <row r="6" spans="1:5" ht="12.75">
      <c r="A6" s="4">
        <v>15</v>
      </c>
      <c r="B6" s="4" t="s">
        <v>20</v>
      </c>
      <c r="C6" s="4">
        <v>40</v>
      </c>
      <c r="D6" s="4">
        <v>2.9</v>
      </c>
      <c r="E6" s="4">
        <v>2.8</v>
      </c>
    </row>
    <row r="7" spans="1:5" ht="12.75">
      <c r="A7" s="4">
        <v>16</v>
      </c>
      <c r="B7" s="4" t="s">
        <v>20</v>
      </c>
      <c r="C7" s="4">
        <v>20</v>
      </c>
      <c r="D7" s="4">
        <v>5.9</v>
      </c>
      <c r="E7" s="4">
        <v>5.8</v>
      </c>
    </row>
    <row r="8" spans="1:5" ht="12.75">
      <c r="A8" s="4">
        <v>17</v>
      </c>
      <c r="B8" s="4" t="s">
        <v>19</v>
      </c>
      <c r="C8" s="4">
        <v>40</v>
      </c>
      <c r="D8" s="4">
        <v>3</v>
      </c>
      <c r="E8" s="4">
        <v>2.8</v>
      </c>
    </row>
    <row r="9" spans="1:5" ht="12.75">
      <c r="A9" s="4">
        <v>18</v>
      </c>
      <c r="B9" s="4" t="s">
        <v>21</v>
      </c>
      <c r="C9" s="4">
        <v>20</v>
      </c>
      <c r="D9" s="4">
        <v>6.8</v>
      </c>
      <c r="E9" s="4">
        <v>6.7</v>
      </c>
    </row>
    <row r="10" spans="1:5" ht="12.75">
      <c r="A10" s="4">
        <v>19</v>
      </c>
      <c r="B10" s="4" t="s">
        <v>22</v>
      </c>
      <c r="C10" s="4">
        <v>50</v>
      </c>
      <c r="D10" s="4">
        <v>16.6</v>
      </c>
      <c r="E10" s="4">
        <v>16.5</v>
      </c>
    </row>
    <row r="11" spans="1:15" ht="12.75">
      <c r="A11" s="4">
        <v>20</v>
      </c>
      <c r="B11" s="4" t="s">
        <v>23</v>
      </c>
      <c r="C11" s="4">
        <v>20</v>
      </c>
      <c r="D11" s="4">
        <v>6.4</v>
      </c>
      <c r="E11" s="4">
        <v>6.3</v>
      </c>
      <c r="O11" s="7"/>
    </row>
    <row r="12" spans="1:5" ht="12.75">
      <c r="A12" s="4">
        <v>21</v>
      </c>
      <c r="B12" s="4" t="s">
        <v>24</v>
      </c>
      <c r="C12" s="4">
        <v>20</v>
      </c>
      <c r="D12" s="4">
        <v>8.35</v>
      </c>
      <c r="E12" s="4">
        <v>8.25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6"/>
  <sheetViews>
    <sheetView zoomScalePageLayoutView="0" workbookViewId="0" topLeftCell="A1">
      <selection activeCell="P13" sqref="P13"/>
    </sheetView>
  </sheetViews>
  <sheetFormatPr defaultColWidth="9.00390625" defaultRowHeight="12.75"/>
  <cols>
    <col min="1" max="1" width="10.125" style="1" bestFit="1" customWidth="1"/>
    <col min="2" max="2" width="12.00390625" style="1" bestFit="1" customWidth="1"/>
    <col min="3" max="16384" width="9.125" style="1" customWidth="1"/>
  </cols>
  <sheetData>
    <row r="1" spans="1:2" ht="13.5" thickBot="1">
      <c r="A1" s="9" t="s">
        <v>25</v>
      </c>
      <c r="B1" s="9" t="s">
        <v>28</v>
      </c>
    </row>
    <row r="2" spans="1:2" ht="13.5" thickTop="1">
      <c r="A2" s="6">
        <v>10</v>
      </c>
      <c r="B2" s="6" t="s">
        <v>29</v>
      </c>
    </row>
    <row r="3" spans="1:2" ht="12.75">
      <c r="A3" s="4">
        <v>20</v>
      </c>
      <c r="B3" s="4" t="s">
        <v>30</v>
      </c>
    </row>
    <row r="4" spans="1:2" ht="12.75">
      <c r="A4" s="4">
        <v>30</v>
      </c>
      <c r="B4" s="4" t="s">
        <v>31</v>
      </c>
    </row>
    <row r="5" spans="1:2" ht="12.75">
      <c r="A5" s="4">
        <v>40</v>
      </c>
      <c r="B5" s="4" t="s">
        <v>32</v>
      </c>
    </row>
    <row r="6" spans="1:2" ht="12.75">
      <c r="A6" s="4">
        <v>50</v>
      </c>
      <c r="B6" s="4" t="s">
        <v>33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52"/>
  <sheetViews>
    <sheetView zoomScale="90" zoomScaleNormal="90" zoomScalePageLayoutView="0" workbookViewId="0" topLeftCell="B1">
      <selection activeCell="T26" sqref="T26"/>
    </sheetView>
  </sheetViews>
  <sheetFormatPr defaultColWidth="9.00390625" defaultRowHeight="12.75" outlineLevelRow="2"/>
  <cols>
    <col min="1" max="1" width="12.125" style="2" customWidth="1"/>
    <col min="2" max="2" width="21.125" style="10" bestFit="1" customWidth="1"/>
    <col min="3" max="3" width="11.125" style="38" customWidth="1"/>
    <col min="4" max="4" width="22.625" style="10" bestFit="1" customWidth="1"/>
    <col min="5" max="5" width="12.125" style="10" bestFit="1" customWidth="1"/>
    <col min="6" max="6" width="11.75390625" style="2" bestFit="1" customWidth="1"/>
    <col min="7" max="7" width="12.375" style="10" bestFit="1" customWidth="1"/>
    <col min="8" max="8" width="9.125" style="10" customWidth="1"/>
    <col min="9" max="9" width="6.00390625" style="38" bestFit="1" customWidth="1"/>
    <col min="10" max="10" width="9.25390625" style="10" bestFit="1" customWidth="1"/>
    <col min="11" max="12" width="9.125" style="10" customWidth="1"/>
    <col min="13" max="13" width="11.00390625" style="10" customWidth="1"/>
    <col min="14" max="14" width="14.125" style="10" bestFit="1" customWidth="1"/>
    <col min="15" max="15" width="10.125" style="10" bestFit="1" customWidth="1"/>
    <col min="16" max="17" width="9.125" style="10" customWidth="1"/>
    <col min="18" max="18" width="7.25390625" style="10" customWidth="1"/>
    <col min="19" max="19" width="7.125" style="10" customWidth="1"/>
    <col min="20" max="16384" width="9.125" style="10" customWidth="1"/>
  </cols>
  <sheetData>
    <row r="1" spans="3:9" ht="15.75">
      <c r="C1" s="53" t="s">
        <v>34</v>
      </c>
      <c r="D1" s="53"/>
      <c r="E1" s="53"/>
      <c r="F1" s="53"/>
      <c r="G1" s="53"/>
      <c r="H1" s="53"/>
      <c r="I1" s="53"/>
    </row>
    <row r="2" spans="1:19" s="11" customFormat="1" ht="25.5">
      <c r="A2" s="30" t="s">
        <v>0</v>
      </c>
      <c r="B2" s="30" t="s">
        <v>16</v>
      </c>
      <c r="C2" s="36" t="s">
        <v>28</v>
      </c>
      <c r="D2" s="30" t="s">
        <v>35</v>
      </c>
      <c r="E2" s="30" t="s">
        <v>2</v>
      </c>
      <c r="F2" s="30" t="s">
        <v>36</v>
      </c>
      <c r="G2" s="30" t="s">
        <v>3</v>
      </c>
      <c r="H2" s="30" t="s">
        <v>37</v>
      </c>
      <c r="I2" s="36" t="s">
        <v>38</v>
      </c>
      <c r="J2" s="30" t="s">
        <v>39</v>
      </c>
      <c r="S2" s="31"/>
    </row>
    <row r="3" spans="1:16" ht="12.75" outlineLevel="2">
      <c r="A3" s="32">
        <f>'Вміст замовлення'!A32</f>
        <v>11</v>
      </c>
      <c r="B3" s="32" t="str">
        <f>LOOKUP('Вміст замовлення'!B32,'Довідник товарів'!$A$2:$A$12,'Довідник товарів'!$B$2:$B$12)</f>
        <v>Лінолеум</v>
      </c>
      <c r="C3" s="37" t="str">
        <f>LOOKUP(VLOOKUP('Вміст замовлення'!B32,'Довідник товарів'!$A$2:$C$12,3,0),'Довідник країн-виробників'!$A$2:$A$6,'Довідник країн-виробників'!$B$2:$B$6)</f>
        <v>Україна</v>
      </c>
      <c r="D3" s="37" t="str">
        <f>LOOKUP(VLOOKUP(A3,'Замовлення товарів'!$A$2:$B$17,2,0),'Довідник фірм'!$A$2:$A$5,'Довідник фірм'!$B$2:$B$5&amp;", "&amp;'Довідник фірм'!$C$2:$C$5)</f>
        <v>АЛЬТАІР, 442-91-74</v>
      </c>
      <c r="E3" s="40">
        <f>VLOOKUP('Замовлення товарів'!$A$12,'Замовлення товарів'!$A$2:$D$17,3,0)</f>
        <v>39819</v>
      </c>
      <c r="F3" s="41">
        <f aca="true" t="shared" si="0" ref="F3:F11">MONTH(E3)</f>
        <v>1</v>
      </c>
      <c r="G3" s="40" t="str">
        <f>VLOOKUP('Замовлення товарів'!$A$12,'Замовлення товарів'!$A$2:$D$17,4,0)</f>
        <v>не оплачено</v>
      </c>
      <c r="H3" s="32">
        <f>'Вміст замовлення'!C32</f>
        <v>100</v>
      </c>
      <c r="I3" s="39">
        <f>IF(H3&gt;=200,VLOOKUP('Вміст замовлення'!B32,'Довідник товарів'!$A$2:$E$12,5,0),VLOOKUP('Вміст замовлення'!B32,'Довідник товарів'!$A$2:$E$12,4,0))</f>
        <v>3</v>
      </c>
      <c r="J3" s="39">
        <f aca="true" t="shared" si="1" ref="J3:J11">I3*H3</f>
        <v>300</v>
      </c>
      <c r="L3" s="18"/>
      <c r="M3" s="18"/>
      <c r="N3" s="18"/>
      <c r="O3" s="18"/>
      <c r="P3" s="18"/>
    </row>
    <row r="4" spans="1:23" ht="12.75" outlineLevel="2">
      <c r="A4" s="4">
        <f>'Вміст замовлення'!A33</f>
        <v>11</v>
      </c>
      <c r="B4" s="4" t="str">
        <f>LOOKUP('Вміст замовлення'!B33,'Довідник товарів'!$A$2:$A$12,'Довідник товарів'!$B$2:$B$12)</f>
        <v>Панелі </v>
      </c>
      <c r="C4" s="37" t="str">
        <f>LOOKUP(VLOOKUP('Вміст замовлення'!B33,'Довідник товарів'!$A$2:$C$12,3,0),'Довідник країн-виробників'!$A$2:$A$6,'Довідник країн-виробників'!$B$2:$B$6)</f>
        <v>Бельгія</v>
      </c>
      <c r="D4" s="13" t="str">
        <f>LOOKUP(VLOOKUP(A4,'Замовлення товарів'!$A$2:$B$17,2,0),'Довідник фірм'!$A$2:$A$5,'Довідник фірм'!$B$2:$B$5&amp;", "&amp;'Довідник фірм'!$C$2:$C$5)</f>
        <v>АЛЬТАІР, 442-91-74</v>
      </c>
      <c r="E4" s="33">
        <f>VLOOKUP('Замовлення товарів'!$A$12,'Замовлення товарів'!$A$2:$D$17,3,0)</f>
        <v>39819</v>
      </c>
      <c r="F4" s="3">
        <f t="shared" si="0"/>
        <v>1</v>
      </c>
      <c r="G4" s="33" t="str">
        <f>VLOOKUP('Замовлення товарів'!$A$12,'Замовлення товарів'!$A$2:$D$17,4,0)</f>
        <v>не оплачено</v>
      </c>
      <c r="H4" s="4">
        <f>'Вміст замовлення'!C33</f>
        <v>50</v>
      </c>
      <c r="I4" s="39">
        <f>IF(H4&gt;=200,VLOOKUP('Вміст замовлення'!B33,'Довідник товарів'!$A$2:$E$12,5,0),VLOOKUP('Вміст замовлення'!B33,'Довідник товарів'!$A$2:$E$12,4,0))</f>
        <v>5.9</v>
      </c>
      <c r="J4" s="34">
        <f t="shared" si="1"/>
        <v>295</v>
      </c>
      <c r="L4" s="18"/>
      <c r="M4" s="18"/>
      <c r="N4" s="18"/>
      <c r="O4" s="18"/>
      <c r="P4" s="18"/>
      <c r="W4" s="12"/>
    </row>
    <row r="5" spans="1:23" ht="12.75" outlineLevel="2">
      <c r="A5" s="4">
        <f>'Вміст замовлення'!A34</f>
        <v>12</v>
      </c>
      <c r="B5" s="4" t="str">
        <f>LOOKUP('Вміст замовлення'!B34,'Довідник товарів'!$A$2:$A$12,'Довідник товарів'!$B$2:$B$12)</f>
        <v>Шпалери акрилові</v>
      </c>
      <c r="C5" s="37" t="str">
        <f>LOOKUP(VLOOKUP('Вміст замовлення'!B34,'Довідник товарів'!$A$2:$C$12,3,0),'Довідник країн-виробників'!$A$2:$A$6,'Довідник країн-виробників'!$B$2:$B$6)</f>
        <v>Німеччина</v>
      </c>
      <c r="D5" s="13" t="str">
        <f>LOOKUP(VLOOKUP(A5,'Замовлення товарів'!$A$2:$B$17,2,0),'Довідник фірм'!$A$2:$A$5,'Довідник фірм'!$B$2:$B$5&amp;", "&amp;'Довідник фірм'!$C$2:$C$5)</f>
        <v>АІМ, 224-50-71</v>
      </c>
      <c r="E5" s="33">
        <f>VLOOKUP('Замовлення товарів'!$A$13,'Замовлення товарів'!$A$2:$D$17,3,0)</f>
        <v>39828</v>
      </c>
      <c r="F5" s="3">
        <f t="shared" si="0"/>
        <v>1</v>
      </c>
      <c r="G5" s="33">
        <f>VLOOKUP('Замовлення товарів'!$A$13,'Замовлення товарів'!$A$2:$D$17,4,0)</f>
        <v>39835</v>
      </c>
      <c r="H5" s="4">
        <f>'Вміст замовлення'!C34</f>
        <v>120</v>
      </c>
      <c r="I5" s="39">
        <f>IF(H5&gt;=200,VLOOKUP('Вміст замовлення'!B34,'Довідник товарів'!$A$2:$E$12,5,0),VLOOKUP('Вміст замовлення'!B34,'Довідник товарів'!$A$2:$E$12,4,0))</f>
        <v>13.3</v>
      </c>
      <c r="J5" s="34">
        <f t="shared" si="1"/>
        <v>1596</v>
      </c>
      <c r="L5" s="18"/>
      <c r="M5" s="18"/>
      <c r="N5" s="18"/>
      <c r="O5" s="18"/>
      <c r="P5" s="18"/>
      <c r="W5" s="12"/>
    </row>
    <row r="6" spans="1:23" ht="12.75" outlineLevel="2">
      <c r="A6" s="4">
        <f>'Вміст замовлення'!A35</f>
        <v>12</v>
      </c>
      <c r="B6" s="4" t="str">
        <f>LOOKUP('Вміст замовлення'!B35,'Довідник товарів'!$A$2:$A$12,'Довідник товарів'!$B$2:$B$12)</f>
        <v>Декоративні панелі</v>
      </c>
      <c r="C6" s="37" t="str">
        <f>LOOKUP(VLOOKUP('Вміст замовлення'!B35,'Довідник товарів'!$A$2:$C$12,3,0),'Довідник країн-виробників'!$A$2:$A$6,'Довідник країн-виробників'!$B$2:$B$6)</f>
        <v>Німеччина</v>
      </c>
      <c r="D6" s="13" t="str">
        <f>LOOKUP(VLOOKUP(A6,'Замовлення товарів'!$A$2:$B$17,2,0),'Довідник фірм'!$A$2:$A$5,'Довідник фірм'!$B$2:$B$5&amp;", "&amp;'Довідник фірм'!$C$2:$C$5)</f>
        <v>АІМ, 224-50-71</v>
      </c>
      <c r="E6" s="33">
        <f>VLOOKUP('Замовлення товарів'!$A$13,'Замовлення товарів'!$A$2:$D$17,3,0)</f>
        <v>39828</v>
      </c>
      <c r="F6" s="3">
        <f t="shared" si="0"/>
        <v>1</v>
      </c>
      <c r="G6" s="33">
        <f>VLOOKUP('Замовлення товарів'!$A$13,'Замовлення товарів'!$A$2:$D$17,4,0)</f>
        <v>39835</v>
      </c>
      <c r="H6" s="4">
        <f>'Вміст замовлення'!C35</f>
        <v>240</v>
      </c>
      <c r="I6" s="39">
        <f>IF(H6&gt;=200,VLOOKUP('Вміст замовлення'!B35,'Довідник товарів'!$A$2:$E$12,5,0),VLOOKUP('Вміст замовлення'!B35,'Довідник товарів'!$A$2:$E$12,4,0))</f>
        <v>6.3</v>
      </c>
      <c r="J6" s="34">
        <f t="shared" si="1"/>
        <v>1512</v>
      </c>
      <c r="L6" s="14"/>
      <c r="M6" s="15"/>
      <c r="N6" s="15"/>
      <c r="O6" s="15"/>
      <c r="P6" s="16"/>
      <c r="W6" s="12"/>
    </row>
    <row r="7" spans="1:16" ht="12.75" outlineLevel="2">
      <c r="A7" s="4">
        <f>'Вміст замовлення'!A36</f>
        <v>13</v>
      </c>
      <c r="B7" s="4" t="str">
        <f>LOOKUP('Вміст замовлення'!B36,'Довідник товарів'!$A$2:$A$12,'Довідник товарів'!$B$2:$B$12)</f>
        <v>Декоративні шпалери</v>
      </c>
      <c r="C7" s="37" t="str">
        <f>LOOKUP(VLOOKUP('Вміст замовлення'!B36,'Довідник товарів'!$A$2:$C$12,3,0),'Довідник країн-виробників'!$A$2:$A$6,'Довідник країн-виробників'!$B$2:$B$6)</f>
        <v>Німеччина</v>
      </c>
      <c r="D7" s="13" t="str">
        <f>LOOKUP(VLOOKUP(A7,'Замовлення товарів'!$A$2:$B$17,2,0),'Довідник фірм'!$A$2:$A$5,'Довідник фірм'!$B$2:$B$5&amp;", "&amp;'Довідник фірм'!$C$2:$C$5)</f>
        <v>Реставрація, 228-06-94</v>
      </c>
      <c r="E7" s="33">
        <f>VLOOKUP('Замовлення товарів'!$A$14,'Замовлення товарів'!$A$2:$D$17,3,0)</f>
        <v>39834</v>
      </c>
      <c r="F7" s="3">
        <f t="shared" si="0"/>
        <v>1</v>
      </c>
      <c r="G7" s="33">
        <f>VLOOKUP('Замовлення товарів'!$A$14,'Замовлення товарів'!$A$2:$D$17,4,0)</f>
        <v>39851</v>
      </c>
      <c r="H7" s="4">
        <f>'Вміст замовлення'!C36</f>
        <v>50</v>
      </c>
      <c r="I7" s="39">
        <f>IF(H7&gt;=200,VLOOKUP('Вміст замовлення'!B36,'Довідник товарів'!$A$2:$E$12,5,0),VLOOKUP('Вміст замовлення'!B36,'Довідник товарів'!$A$2:$E$12,4,0))</f>
        <v>8.35</v>
      </c>
      <c r="J7" s="34">
        <f t="shared" si="1"/>
        <v>417.5</v>
      </c>
      <c r="L7" s="17"/>
      <c r="M7" s="20" t="s">
        <v>41</v>
      </c>
      <c r="N7" s="18" t="s">
        <v>40</v>
      </c>
      <c r="O7" s="18" t="s">
        <v>13</v>
      </c>
      <c r="P7" s="19"/>
    </row>
    <row r="8" spans="1:16" ht="12.75" outlineLevel="2">
      <c r="A8" s="4">
        <f>'Вміст замовлення'!A37</f>
        <v>13</v>
      </c>
      <c r="B8" s="4" t="str">
        <f>LOOKUP('Вміст замовлення'!B37,'Довідник товарів'!$A$2:$A$12,'Довідник товарів'!$B$2:$B$12)</f>
        <v>Шпалери акрилові</v>
      </c>
      <c r="C8" s="37" t="str">
        <f>LOOKUP(VLOOKUP('Вміст замовлення'!B37,'Довідник товарів'!$A$2:$C$12,3,0),'Довідник країн-виробників'!$A$2:$A$6,'Довідник країн-виробників'!$B$2:$B$6)</f>
        <v>Німеччина</v>
      </c>
      <c r="D8" s="13" t="str">
        <f>LOOKUP(VLOOKUP(A8,'Замовлення товарів'!$A$2:$B$17,2,0),'Довідник фірм'!$A$2:$A$5,'Довідник фірм'!$B$2:$B$5&amp;", "&amp;'Довідник фірм'!$C$2:$C$5)</f>
        <v>Реставрація, 228-06-94</v>
      </c>
      <c r="E8" s="33">
        <f>VLOOKUP('Замовлення товарів'!$A$14,'Замовлення товарів'!$A$2:$D$17,3,0)</f>
        <v>39834</v>
      </c>
      <c r="F8" s="3">
        <f t="shared" si="0"/>
        <v>1</v>
      </c>
      <c r="G8" s="33">
        <f>VLOOKUP('Замовлення товарів'!$A$14,'Замовлення товарів'!$A$2:$D$17,4,0)</f>
        <v>39851</v>
      </c>
      <c r="H8" s="4">
        <f>'Вміст замовлення'!C37</f>
        <v>100</v>
      </c>
      <c r="I8" s="39">
        <f>IF(H8&gt;=200,VLOOKUP('Вміст замовлення'!B37,'Довідник товарів'!$A$2:$E$12,5,0),VLOOKUP('Вміст замовлення'!B37,'Довідник товарів'!$A$2:$E$12,4,0))</f>
        <v>13.3</v>
      </c>
      <c r="J8" s="34">
        <f t="shared" si="1"/>
        <v>1330</v>
      </c>
      <c r="L8" s="17"/>
      <c r="M8" s="18"/>
      <c r="N8" s="18"/>
      <c r="O8" s="18"/>
      <c r="P8" s="19"/>
    </row>
    <row r="9" spans="1:16" ht="12.75" outlineLevel="2">
      <c r="A9" s="4">
        <f>'Вміст замовлення'!A38</f>
        <v>13</v>
      </c>
      <c r="B9" s="4" t="str">
        <f>LOOKUP('Вміст замовлення'!B38,'Довідник товарів'!$A$2:$A$12,'Довідник товарів'!$B$2:$B$12)</f>
        <v>Підвісні стелі</v>
      </c>
      <c r="C9" s="37" t="str">
        <f>LOOKUP(VLOOKUP('Вміст замовлення'!B38,'Довідник товарів'!$A$2:$C$12,3,0),'Довідник країн-виробників'!$A$2:$A$6,'Довідник країн-виробників'!$B$2:$B$6)</f>
        <v>Німеччина</v>
      </c>
      <c r="D9" s="13" t="str">
        <f>LOOKUP(VLOOKUP(A9,'Замовлення товарів'!$A$2:$B$17,2,0),'Довідник фірм'!$A$2:$A$5,'Довідник фірм'!$B$2:$B$5&amp;", "&amp;'Довідник фірм'!$C$2:$C$5)</f>
        <v>Реставрація, 228-06-94</v>
      </c>
      <c r="E9" s="33">
        <f>VLOOKUP('Замовлення товарів'!$A$14,'Замовлення товарів'!$A$2:$D$17,3,0)</f>
        <v>39834</v>
      </c>
      <c r="F9" s="3">
        <f t="shared" si="0"/>
        <v>1</v>
      </c>
      <c r="G9" s="33">
        <f>VLOOKUP('Замовлення товарів'!$A$14,'Замовлення товарів'!$A$2:$D$17,4,0)</f>
        <v>39851</v>
      </c>
      <c r="H9" s="4">
        <f>'Вміст замовлення'!C38</f>
        <v>120</v>
      </c>
      <c r="I9" s="39">
        <f>IF(H9&gt;=200,VLOOKUP('Вміст замовлення'!B38,'Довідник товарів'!$A$2:$E$12,5,0),VLOOKUP('Вміст замовлення'!B38,'Довідник товарів'!$A$2:$E$12,4,0))</f>
        <v>6.8</v>
      </c>
      <c r="J9" s="34">
        <f t="shared" si="1"/>
        <v>816</v>
      </c>
      <c r="L9" s="17"/>
      <c r="M9" s="20" t="s">
        <v>42</v>
      </c>
      <c r="N9" s="18" t="str">
        <f>N7&amp;", "&amp;O7</f>
        <v>AIM, 224-50-71</v>
      </c>
      <c r="O9" s="18"/>
      <c r="P9" s="19"/>
    </row>
    <row r="10" spans="1:16" ht="12.75" outlineLevel="2">
      <c r="A10" s="4">
        <f>'Вміст замовлення'!A39</f>
        <v>14</v>
      </c>
      <c r="B10" s="4" t="str">
        <f>LOOKUP('Вміст замовлення'!B39,'Довідник товарів'!$A$2:$A$12,'Довідник товарів'!$B$2:$B$12)</f>
        <v>Лінолеум</v>
      </c>
      <c r="C10" s="37" t="str">
        <f>LOOKUP(VLOOKUP('Вміст замовлення'!B39,'Довідник товарів'!$A$2:$C$12,3,0),'Довідник країн-виробників'!$A$2:$A$6,'Довідник країн-виробників'!$B$2:$B$6)</f>
        <v>Україна</v>
      </c>
      <c r="D10" s="13" t="str">
        <f>LOOKUP(VLOOKUP(A10,'Замовлення товарів'!$A$2:$B$17,2,0),'Довідник фірм'!$A$2:$A$5,'Довідник фірм'!$B$2:$B$5&amp;", "&amp;'Довідник фірм'!$C$2:$C$5)</f>
        <v>ЮКЕН, 435-61-92</v>
      </c>
      <c r="E10" s="33">
        <f>VLOOKUP('Замовлення товарів'!$A$15,'Замовлення товарів'!$A$2:$D$17,3,0)</f>
        <v>39844</v>
      </c>
      <c r="F10" s="3">
        <f t="shared" si="0"/>
        <v>1</v>
      </c>
      <c r="G10" s="33">
        <f>VLOOKUP('Замовлення товарів'!$A$15,'Замовлення товарів'!$A$2:$D$17,4,0)</f>
        <v>39856</v>
      </c>
      <c r="H10" s="4">
        <f>'Вміст замовлення'!C39</f>
        <v>190</v>
      </c>
      <c r="I10" s="39">
        <f>IF(H10&gt;=200,VLOOKUP('Вміст замовлення'!B39,'Довідник товарів'!$A$2:$E$12,5,0),VLOOKUP('Вміст замовлення'!B39,'Довідник товарів'!$A$2:$E$12,4,0))</f>
        <v>3</v>
      </c>
      <c r="J10" s="34">
        <f t="shared" si="1"/>
        <v>570</v>
      </c>
      <c r="L10" s="17"/>
      <c r="M10" s="18"/>
      <c r="N10" s="18"/>
      <c r="O10" s="18"/>
      <c r="P10" s="19"/>
    </row>
    <row r="11" spans="1:16" ht="12.75" outlineLevel="2">
      <c r="A11" s="4">
        <f>'Вміст замовлення'!A40</f>
        <v>14</v>
      </c>
      <c r="B11" s="4" t="str">
        <f>LOOKUP('Вміст замовлення'!B40,'Довідник товарів'!$A$2:$A$12,'Довідник товарів'!$B$2:$B$12)</f>
        <v>Панелі </v>
      </c>
      <c r="C11" s="37" t="str">
        <f>LOOKUP(VLOOKUP('Вміст замовлення'!B40,'Довідник товарів'!$A$2:$C$12,3,0),'Довідник країн-виробників'!$A$2:$A$6,'Довідник країн-виробників'!$B$2:$B$6)</f>
        <v>Бельгія</v>
      </c>
      <c r="D11" s="13" t="str">
        <f>LOOKUP(VLOOKUP(A11,'Замовлення товарів'!$A$2:$B$17,2,0),'Довідник фірм'!$A$2:$A$5,'Довідник фірм'!$B$2:$B$5&amp;", "&amp;'Довідник фірм'!$C$2:$C$5)</f>
        <v>ЮКЕН, 435-61-92</v>
      </c>
      <c r="E11" s="33">
        <f>VLOOKUP('Замовлення товарів'!$A$15,'Замовлення товарів'!$A$2:$D$17,3,0)</f>
        <v>39844</v>
      </c>
      <c r="F11" s="3">
        <f t="shared" si="0"/>
        <v>1</v>
      </c>
      <c r="G11" s="33">
        <f>VLOOKUP('Замовлення товарів'!$A$15,'Замовлення товарів'!$A$2:$D$17,4,0)</f>
        <v>39856</v>
      </c>
      <c r="H11" s="4">
        <f>'Вміст замовлення'!C40</f>
        <v>200</v>
      </c>
      <c r="I11" s="39">
        <f>IF(H11&gt;=200,VLOOKUP('Вміст замовлення'!B40,'Довідник товарів'!$A$2:$E$12,5,0),VLOOKUP('Вміст замовлення'!B40,'Довідник товарів'!$A$2:$E$12,4,0))</f>
        <v>5.6</v>
      </c>
      <c r="J11" s="34">
        <f t="shared" si="1"/>
        <v>1120</v>
      </c>
      <c r="L11" s="21"/>
      <c r="M11" s="22"/>
      <c r="N11" s="22"/>
      <c r="O11" s="22"/>
      <c r="P11" s="23"/>
    </row>
    <row r="12" spans="1:16" ht="12.75" outlineLevel="1">
      <c r="A12" s="4"/>
      <c r="B12" s="4"/>
      <c r="C12" s="37"/>
      <c r="D12" s="13"/>
      <c r="E12" s="33"/>
      <c r="F12" s="42" t="s">
        <v>56</v>
      </c>
      <c r="G12" s="33"/>
      <c r="H12" s="4">
        <f>SUBTOTAL(9,H3:H11)</f>
        <v>1170</v>
      </c>
      <c r="I12" s="39"/>
      <c r="J12" s="34">
        <f>SUBTOTAL(9,J3:J11)</f>
        <v>7956.5</v>
      </c>
      <c r="L12" s="18"/>
      <c r="M12" s="18"/>
      <c r="N12" s="18"/>
      <c r="O12" s="18"/>
      <c r="P12" s="18"/>
    </row>
    <row r="13" spans="1:16" ht="12.75" outlineLevel="2">
      <c r="A13" s="4">
        <f>'Вміст замовлення'!A41</f>
        <v>15</v>
      </c>
      <c r="B13" s="4" t="str">
        <f>LOOKUP('Вміст замовлення'!B41,'Довідник товарів'!$A$2:$A$12,'Довідник товарів'!$B$2:$B$12)</f>
        <v>Плінтус</v>
      </c>
      <c r="C13" s="37" t="str">
        <f>LOOKUP(VLOOKUP('Вміст замовлення'!B41,'Довідник товарів'!$A$2:$C$12,3,0),'Довідник країн-виробників'!$A$2:$A$6,'Довідник країн-виробників'!$B$2:$B$6)</f>
        <v>Німеччина</v>
      </c>
      <c r="D13" s="13" t="str">
        <f>LOOKUP(VLOOKUP(A13,'Замовлення товарів'!$A$2:$B$17,2,0),'Довідник фірм'!$A$2:$A$5,'Довідник фірм'!$B$2:$B$5&amp;", "&amp;'Довідник фірм'!$C$2:$C$5)</f>
        <v>АЛЬТАІР, 442-91-74</v>
      </c>
      <c r="E13" s="33">
        <f>VLOOKUP('Замовлення товарів'!$A$16,'Замовлення товарів'!$A$2:$D$17,3,0)</f>
        <v>39849</v>
      </c>
      <c r="F13" s="3">
        <f aca="true" t="shared" si="2" ref="F13:F18">MONTH(E13)</f>
        <v>2</v>
      </c>
      <c r="G13" s="33" t="str">
        <f>VLOOKUP('Замовлення товарів'!$A$16,'Замовлення товарів'!$A$2:$D$17,4,0)</f>
        <v>не оплачено</v>
      </c>
      <c r="H13" s="4">
        <f>'Вміст замовлення'!C41</f>
        <v>150</v>
      </c>
      <c r="I13" s="39">
        <f>IF(H13&gt;=200,VLOOKUP('Вміст замовлення'!B41,'Довідник товарів'!$A$2:$E$12,5,0),VLOOKUP('Вміст замовлення'!B41,'Довідник товарів'!$A$2:$E$12,4,0))</f>
        <v>5.9</v>
      </c>
      <c r="J13" s="34">
        <f aca="true" t="shared" si="3" ref="J13:J18">I13*H13</f>
        <v>885</v>
      </c>
      <c r="L13" s="18"/>
      <c r="M13" s="18"/>
      <c r="N13" s="18"/>
      <c r="O13" s="18"/>
      <c r="P13" s="18"/>
    </row>
    <row r="14" spans="1:16" ht="12.75" outlineLevel="2">
      <c r="A14" s="4">
        <f>'Вміст замовлення'!A42</f>
        <v>15</v>
      </c>
      <c r="B14" s="4" t="str">
        <f>LOOKUP('Вміст замовлення'!B42,'Довідник товарів'!$A$2:$A$12,'Довідник товарів'!$B$2:$B$12)</f>
        <v>Лінолеум</v>
      </c>
      <c r="C14" s="37" t="str">
        <f>LOOKUP(VLOOKUP('Вміст замовлення'!B42,'Довідник товарів'!$A$2:$C$12,3,0),'Довідник країн-виробників'!$A$2:$A$6,'Довідник країн-виробників'!$B$2:$B$6)</f>
        <v>Україна</v>
      </c>
      <c r="D14" s="13" t="str">
        <f>LOOKUP(VLOOKUP(A14,'Замовлення товарів'!$A$2:$B$17,2,0),'Довідник фірм'!$A$2:$A$5,'Довідник фірм'!$B$2:$B$5&amp;", "&amp;'Довідник фірм'!$C$2:$C$5)</f>
        <v>АЛЬТАІР, 442-91-74</v>
      </c>
      <c r="E14" s="33">
        <f>VLOOKUP('Замовлення товарів'!$A$16,'Замовлення товарів'!$A$2:$D$17,3,0)</f>
        <v>39849</v>
      </c>
      <c r="F14" s="3">
        <f t="shared" si="2"/>
        <v>2</v>
      </c>
      <c r="G14" s="33" t="str">
        <f>VLOOKUP('Замовлення товарів'!$A$16,'Замовлення товарів'!$A$2:$D$17,4,0)</f>
        <v>не оплачено</v>
      </c>
      <c r="H14" s="4">
        <f>'Вміст замовлення'!C42</f>
        <v>90</v>
      </c>
      <c r="I14" s="39">
        <f>IF(H14&gt;=200,VLOOKUP('Вміст замовлення'!B42,'Довідник товарів'!$A$2:$E$12,5,0),VLOOKUP('Вміст замовлення'!B42,'Довідник товарів'!$A$2:$E$12,4,0))</f>
        <v>3</v>
      </c>
      <c r="J14" s="34">
        <f t="shared" si="3"/>
        <v>270</v>
      </c>
      <c r="L14" s="18"/>
      <c r="M14" s="18"/>
      <c r="N14" s="18"/>
      <c r="O14" s="18"/>
      <c r="P14" s="18"/>
    </row>
    <row r="15" spans="1:10" ht="12.75" outlineLevel="2">
      <c r="A15" s="4">
        <f>'Вміст замовлення'!A43</f>
        <v>15</v>
      </c>
      <c r="B15" s="4" t="str">
        <f>LOOKUP('Вміст замовлення'!B43,'Довідник товарів'!$A$2:$A$12,'Довідник товарів'!$B$2:$B$12)</f>
        <v>Підвісні стелі</v>
      </c>
      <c r="C15" s="37" t="str">
        <f>LOOKUP(VLOOKUP('Вміст замовлення'!B43,'Довідник товарів'!$A$2:$C$12,3,0),'Довідник країн-виробників'!$A$2:$A$6,'Довідник країн-виробників'!$B$2:$B$6)</f>
        <v>Німеччина</v>
      </c>
      <c r="D15" s="13" t="str">
        <f>LOOKUP(VLOOKUP(A15,'Замовлення товарів'!$A$2:$B$17,2,0),'Довідник фірм'!$A$2:$A$5,'Довідник фірм'!$B$2:$B$5&amp;", "&amp;'Довідник фірм'!$C$2:$C$5)</f>
        <v>АЛЬТАІР, 442-91-74</v>
      </c>
      <c r="E15" s="33">
        <f>VLOOKUP('Замовлення товарів'!$A$16,'Замовлення товарів'!$A$2:$D$17,3,0)</f>
        <v>39849</v>
      </c>
      <c r="F15" s="3">
        <f t="shared" si="2"/>
        <v>2</v>
      </c>
      <c r="G15" s="33" t="str">
        <f>VLOOKUP('Замовлення товарів'!$A$16,'Замовлення товарів'!$A$2:$D$17,4,0)</f>
        <v>не оплачено</v>
      </c>
      <c r="H15" s="4">
        <f>'Вміст замовлення'!C43</f>
        <v>80</v>
      </c>
      <c r="I15" s="39">
        <f>IF(H15&gt;=200,VLOOKUP('Вміст замовлення'!B43,'Довідник товарів'!$A$2:$E$12,5,0),VLOOKUP('Вміст замовлення'!B43,'Довідник товарів'!$A$2:$E$12,4,0))</f>
        <v>6.8</v>
      </c>
      <c r="J15" s="34">
        <f t="shared" si="3"/>
        <v>544</v>
      </c>
    </row>
    <row r="16" spans="1:16" ht="12.75" outlineLevel="2">
      <c r="A16" s="4">
        <f>'Вміст замовлення'!A44</f>
        <v>16</v>
      </c>
      <c r="B16" s="4" t="str">
        <f>LOOKUP('Вміст замовлення'!B44,'Довідник товарів'!$A$2:$A$12,'Довідник товарів'!$B$2:$B$12)</f>
        <v>Паркет</v>
      </c>
      <c r="C16" s="37" t="str">
        <f>LOOKUP(VLOOKUP('Вміст замовлення'!B44,'Довідник товарів'!$A$2:$C$12,3,0),'Довідник країн-виробників'!$A$2:$A$6,'Довідник країн-виробників'!$B$2:$B$6)</f>
        <v>Франція</v>
      </c>
      <c r="D16" s="13" t="str">
        <f>LOOKUP(VLOOKUP(A16,'Замовлення товарів'!$A$2:$B$17,2,0),'Довідник фірм'!$A$2:$A$5,'Довідник фірм'!$B$2:$B$5&amp;", "&amp;'Довідник фірм'!$C$2:$C$5)</f>
        <v>АІМ, 224-50-71</v>
      </c>
      <c r="E16" s="33">
        <f>VLOOKUP('Замовлення товарів'!$A$17,'Замовлення товарів'!$A$2:$D$17,3,0)</f>
        <v>39855</v>
      </c>
      <c r="F16" s="3">
        <f t="shared" si="2"/>
        <v>2</v>
      </c>
      <c r="G16" s="33">
        <f>VLOOKUP('Замовлення товарів'!$A$17,'Замовлення товарів'!$A$2:$D$17,4,0)</f>
        <v>39872</v>
      </c>
      <c r="H16" s="4">
        <f>'Вміст замовлення'!C44</f>
        <v>70</v>
      </c>
      <c r="I16" s="39">
        <f>IF(H16&gt;=200,VLOOKUP('Вміст замовлення'!B44,'Довідник товарів'!$A$2:$E$12,5,0),VLOOKUP('Вміст замовлення'!B44,'Довідник товарів'!$A$2:$E$12,4,0))</f>
        <v>16.6</v>
      </c>
      <c r="J16" s="34">
        <f t="shared" si="3"/>
        <v>1162</v>
      </c>
      <c r="L16" s="14"/>
      <c r="M16" s="15"/>
      <c r="N16" s="15"/>
      <c r="O16" s="15"/>
      <c r="P16" s="16"/>
    </row>
    <row r="17" spans="1:16" ht="12.75" outlineLevel="2">
      <c r="A17" s="4">
        <f>'Вміст замовлення'!A45</f>
        <v>16</v>
      </c>
      <c r="B17" s="4" t="str">
        <f>LOOKUP('Вміст замовлення'!B45,'Довідник товарів'!$A$2:$A$12,'Довідник товарів'!$B$2:$B$12)</f>
        <v>Декоративні панелі</v>
      </c>
      <c r="C17" s="37" t="str">
        <f>LOOKUP(VLOOKUP('Вміст замовлення'!B45,'Довідник товарів'!$A$2:$C$12,3,0),'Довідник країн-виробників'!$A$2:$A$6,'Довідник країн-виробників'!$B$2:$B$6)</f>
        <v>Німеччина</v>
      </c>
      <c r="D17" s="13" t="str">
        <f>LOOKUP(VLOOKUP(A17,'Замовлення товарів'!$A$2:$B$17,2,0),'Довідник фірм'!$A$2:$A$5,'Довідник фірм'!$B$2:$B$5&amp;", "&amp;'Довідник фірм'!$C$2:$C$5)</f>
        <v>АІМ, 224-50-71</v>
      </c>
      <c r="E17" s="33">
        <f>VLOOKUP('Замовлення товарів'!$A$17,'Замовлення товарів'!$A$2:$D$17,3,0)</f>
        <v>39855</v>
      </c>
      <c r="F17" s="3">
        <f t="shared" si="2"/>
        <v>2</v>
      </c>
      <c r="G17" s="33">
        <f>VLOOKUP('Замовлення товарів'!$A$17,'Замовлення товарів'!$A$2:$D$17,4,0)</f>
        <v>39872</v>
      </c>
      <c r="H17" s="4">
        <f>'Вміст замовлення'!C45</f>
        <v>160</v>
      </c>
      <c r="I17" s="39">
        <f>IF(H17&gt;=200,VLOOKUP('Вміст замовлення'!B45,'Довідник товарів'!$A$2:$E$12,5,0),VLOOKUP('Вміст замовлення'!B45,'Довідник товарів'!$A$2:$E$12,4,0))</f>
        <v>6.4</v>
      </c>
      <c r="J17" s="34">
        <f t="shared" si="3"/>
        <v>1024</v>
      </c>
      <c r="L17" s="17"/>
      <c r="M17" s="18" t="s">
        <v>43</v>
      </c>
      <c r="N17" s="18" t="s">
        <v>36</v>
      </c>
      <c r="O17" s="18"/>
      <c r="P17" s="19"/>
    </row>
    <row r="18" spans="1:16" ht="12.75" outlineLevel="2">
      <c r="A18" s="4">
        <f>'Вміст замовлення'!A46</f>
        <v>16</v>
      </c>
      <c r="B18" s="4" t="str">
        <f>LOOKUP('Вміст замовлення'!B46,'Довідник товарів'!$A$2:$A$12,'Довідник товарів'!$B$2:$B$12)</f>
        <v>Шпалери акрилові</v>
      </c>
      <c r="C18" s="37" t="str">
        <f>LOOKUP(VLOOKUP('Вміст замовлення'!B46,'Довідник товарів'!$A$2:$C$12,3,0),'Довідник країн-виробників'!$A$2:$A$6,'Довідник країн-виробників'!$B$2:$B$6)</f>
        <v>Німеччина</v>
      </c>
      <c r="D18" s="13" t="str">
        <f>LOOKUP(VLOOKUP(A18,'Замовлення товарів'!$A$2:$B$17,2,0),'Довідник фірм'!$A$2:$A$5,'Довідник фірм'!$B$2:$B$5&amp;", "&amp;'Довідник фірм'!$C$2:$C$5)</f>
        <v>АІМ, 224-50-71</v>
      </c>
      <c r="E18" s="33">
        <f>VLOOKUP('Замовлення товарів'!$A$17,'Замовлення товарів'!$A$2:$D$17,3,0)</f>
        <v>39855</v>
      </c>
      <c r="F18" s="3">
        <f t="shared" si="2"/>
        <v>2</v>
      </c>
      <c r="G18" s="33">
        <f>VLOOKUP('Замовлення товарів'!$A$17,'Замовлення товарів'!$A$2:$D$17,4,0)</f>
        <v>39872</v>
      </c>
      <c r="H18" s="4">
        <v>120</v>
      </c>
      <c r="I18" s="39">
        <f>IF(H18&gt;=200,VLOOKUP('Вміст замовлення'!B46,'Довідник товарів'!$A$2:$E$12,5,0),VLOOKUP('Вміст замовлення'!B46,'Довідник товарів'!$A$2:$E$12,4,0))</f>
        <v>13.3</v>
      </c>
      <c r="J18" s="34">
        <f t="shared" si="3"/>
        <v>1596</v>
      </c>
      <c r="L18" s="17"/>
      <c r="M18" s="24">
        <v>42634</v>
      </c>
      <c r="N18" s="25">
        <f>MONTH(M18)</f>
        <v>9</v>
      </c>
      <c r="O18" s="18"/>
      <c r="P18" s="19"/>
    </row>
    <row r="19" spans="1:16" ht="12.75" outlineLevel="1">
      <c r="A19" s="4"/>
      <c r="B19" s="4"/>
      <c r="C19" s="37"/>
      <c r="D19" s="13"/>
      <c r="E19" s="33"/>
      <c r="F19" s="43" t="s">
        <v>57</v>
      </c>
      <c r="G19" s="33"/>
      <c r="H19" s="4">
        <f>SUBTOTAL(9,H13:H18)</f>
        <v>670</v>
      </c>
      <c r="I19" s="39"/>
      <c r="J19" s="34">
        <f>SUBTOTAL(9,J13:J18)</f>
        <v>5481</v>
      </c>
      <c r="L19" s="17"/>
      <c r="M19" s="24"/>
      <c r="N19" s="25"/>
      <c r="O19" s="18"/>
      <c r="P19" s="19"/>
    </row>
    <row r="20" spans="1:16" ht="12.75" outlineLevel="2">
      <c r="A20" s="4">
        <f>'Вміст замовлення'!A2</f>
        <v>1</v>
      </c>
      <c r="B20" s="4" t="str">
        <f>LOOKUP('Вміст замовлення'!B2,'Довідник товарів'!$A$2:$A$12,'Довідник товарів'!$B$2:$B$12)</f>
        <v>Панелі </v>
      </c>
      <c r="C20" s="37" t="str">
        <f>LOOKUP(VLOOKUP('Вміст замовлення'!B2,'Довідник товарів'!$A$2:$C$12,3,0),'Довідник країн-виробників'!$A$2:$A$6,'Довідник країн-виробників'!$B$2:$B$6)</f>
        <v>Бельгія</v>
      </c>
      <c r="D20" s="13" t="str">
        <f>LOOKUP(VLOOKUP(A20,'Замовлення товарів'!$A$2:$B$17,2,0),'Довідник фірм'!$A$2:$A$5,'Довідник фірм'!$B$2:$B$5&amp;", "&amp;'Довідник фірм'!$C$2:$C$5)</f>
        <v>Реставрація, 228-06-94</v>
      </c>
      <c r="E20" s="33">
        <f>VLOOKUP('Замовлення товарів'!$A$2,'Замовлення товарів'!$A$2:$D$17,3,0)</f>
        <v>39754</v>
      </c>
      <c r="F20" s="3">
        <f aca="true" t="shared" si="4" ref="F20:F34">MONTH(E20)</f>
        <v>11</v>
      </c>
      <c r="G20" s="33">
        <f>VLOOKUP('Замовлення товарів'!$A$2,'Замовлення товарів'!$A$2:$D$17,4,0)</f>
        <v>39757</v>
      </c>
      <c r="H20" s="4">
        <f>'Вміст замовлення'!C2</f>
        <v>400</v>
      </c>
      <c r="I20" s="39">
        <f>IF(H20&gt;=200,VLOOKUP('Вміст замовлення'!B2,'Довідник товарів'!$A$2:$E$12,5,0),VLOOKUP('Вміст замовлення'!B2,'Довідник товарів'!$A$2:$E$12,4,0))</f>
        <v>5.6</v>
      </c>
      <c r="J20" s="34">
        <f aca="true" t="shared" si="5" ref="J20:J34">I20*H20</f>
        <v>2240</v>
      </c>
      <c r="L20" s="21"/>
      <c r="M20" s="22"/>
      <c r="N20" s="22"/>
      <c r="O20" s="22"/>
      <c r="P20" s="23"/>
    </row>
    <row r="21" spans="1:10" ht="12.75" outlineLevel="2">
      <c r="A21" s="4">
        <f>'Вміст замовлення'!A3</f>
        <v>1</v>
      </c>
      <c r="B21" s="4" t="str">
        <f>LOOKUP('Вміст замовлення'!B3,'Довідник товарів'!$A$2:$A$12,'Довідник товарів'!$B$2:$B$12)</f>
        <v>Шпалери акрилові</v>
      </c>
      <c r="C21" s="37" t="str">
        <f>LOOKUP(VLOOKUP('Вміст замовлення'!B3,'Довідник товарів'!$A$2:$C$12,3,0),'Довідник країн-виробників'!$A$2:$A$6,'Довідник країн-виробників'!$B$2:$B$6)</f>
        <v>Німеччина</v>
      </c>
      <c r="D21" s="13" t="str">
        <f>LOOKUP(VLOOKUP(A21,'Замовлення товарів'!$A$2:$B$17,2,0),'Довідник фірм'!$A$2:$A$5,'Довідник фірм'!$B$2:$B$5&amp;", "&amp;'Довідник фірм'!$C$2:$C$5)</f>
        <v>Реставрація, 228-06-94</v>
      </c>
      <c r="E21" s="33">
        <f>VLOOKUP('Замовлення товарів'!$A$2,'Замовлення товарів'!$A$2:$D$17,3,0)</f>
        <v>39754</v>
      </c>
      <c r="F21" s="3">
        <f t="shared" si="4"/>
        <v>11</v>
      </c>
      <c r="G21" s="33">
        <f>VLOOKUP('Замовлення товарів'!$A$2,'Замовлення товарів'!$A$2:$D$17,4,0)</f>
        <v>39757</v>
      </c>
      <c r="H21" s="4">
        <f>'Вміст замовлення'!C3</f>
        <v>150</v>
      </c>
      <c r="I21" s="39">
        <f>IF(H21&gt;=200,VLOOKUP('Вміст замовлення'!B3,'Довідник товарів'!$A$2:$E$12,5,0),VLOOKUP('Вміст замовлення'!B3,'Довідник товарів'!$A$2:$E$12,4,0))</f>
        <v>13.3</v>
      </c>
      <c r="J21" s="34">
        <f t="shared" si="5"/>
        <v>1995</v>
      </c>
    </row>
    <row r="22" spans="1:10" ht="12.75" outlineLevel="2">
      <c r="A22" s="4">
        <f>'Вміст замовлення'!A4</f>
        <v>1</v>
      </c>
      <c r="B22" s="4" t="str">
        <f>LOOKUP('Вміст замовлення'!B4,'Довідник товарів'!$A$2:$A$12,'Довідник товарів'!$B$2:$B$12)</f>
        <v>Лінолеум</v>
      </c>
      <c r="C22" s="37" t="str">
        <f>LOOKUP(VLOOKUP('Вміст замовлення'!B4,'Довідник товарів'!$A$2:$C$12,3,0),'Довідник країн-виробників'!$A$2:$A$6,'Довідник країн-виробників'!$B$2:$B$6)</f>
        <v>Німеччина</v>
      </c>
      <c r="D22" s="13" t="str">
        <f>LOOKUP(VLOOKUP(A22,'Замовлення товарів'!$A$2:$B$17,2,0),'Довідник фірм'!$A$2:$A$5,'Довідник фірм'!$B$2:$B$5&amp;", "&amp;'Довідник фірм'!$C$2:$C$5)</f>
        <v>Реставрація, 228-06-94</v>
      </c>
      <c r="E22" s="33">
        <f>VLOOKUP('Замовлення товарів'!$A$2,'Замовлення товарів'!$A$2:$D$17,3,0)</f>
        <v>39754</v>
      </c>
      <c r="F22" s="3">
        <f t="shared" si="4"/>
        <v>11</v>
      </c>
      <c r="G22" s="33">
        <f>VLOOKUP('Замовлення товарів'!$A$2,'Замовлення товарів'!$A$2:$D$17,4,0)</f>
        <v>39757</v>
      </c>
      <c r="H22" s="4">
        <f>'Вміст замовлення'!C4</f>
        <v>800</v>
      </c>
      <c r="I22" s="39">
        <f>IF(H22&gt;=200,VLOOKUP('Вміст замовлення'!B4,'Довідник товарів'!$A$2:$E$12,5,0),VLOOKUP('Вміст замовлення'!B4,'Довідник товарів'!$A$2:$E$12,4,0))</f>
        <v>5.3</v>
      </c>
      <c r="J22" s="34">
        <f t="shared" si="5"/>
        <v>4240</v>
      </c>
    </row>
    <row r="23" spans="1:21" ht="12.75" outlineLevel="2">
      <c r="A23" s="4">
        <f>'Вміст замовлення'!A5</f>
        <v>2</v>
      </c>
      <c r="B23" s="4" t="str">
        <f>LOOKUP('Вміст замовлення'!B5,'Довідник товарів'!$A$2:$A$12,'Довідник товарів'!$B$2:$B$12)</f>
        <v>Панелі </v>
      </c>
      <c r="C23" s="37" t="str">
        <f>LOOKUP(VLOOKUP('Вміст замовлення'!B5,'Довідник товарів'!$A$2:$C$12,3,0),'Довідник країн-виробників'!$A$2:$A$6,'Довідник країн-виробників'!$B$2:$B$6)</f>
        <v>Голландія</v>
      </c>
      <c r="D23" s="13" t="str">
        <f>LOOKUP(VLOOKUP(A23,'Замовлення товарів'!$A$2:$B$17,2,0),'Довідник фірм'!$A$2:$A$5,'Довідник фірм'!$B$2:$B$5&amp;", "&amp;'Довідник фірм'!$C$2:$C$5)</f>
        <v>ЮКЕН, 435-61-92</v>
      </c>
      <c r="E23" s="33">
        <f>VLOOKUP('Замовлення товарів'!$A$3,'Замовлення товарів'!$A$2:$D$17,3,0)</f>
        <v>39763</v>
      </c>
      <c r="F23" s="3">
        <f t="shared" si="4"/>
        <v>11</v>
      </c>
      <c r="G23" s="33">
        <f>VLOOKUP('Замовлення товарів'!$A$3,'Замовлення товарів'!$A$2:$D$17,4,0)</f>
        <v>39770</v>
      </c>
      <c r="H23" s="4">
        <f>'Вміст замовлення'!C5</f>
        <v>90</v>
      </c>
      <c r="I23" s="39">
        <f>IF(H23&gt;=200,VLOOKUP('Вміст замовлення'!B5,'Довідник товарів'!$A$2:$E$12,5,0),VLOOKUP('Вміст замовлення'!B5,'Довідник товарів'!$A$2:$E$12,4,0))</f>
        <v>5.45</v>
      </c>
      <c r="J23" s="34">
        <f t="shared" si="5"/>
        <v>490.5</v>
      </c>
      <c r="L23" s="14"/>
      <c r="M23" s="15"/>
      <c r="N23" s="15"/>
      <c r="O23" s="15"/>
      <c r="P23" s="15"/>
      <c r="Q23" s="15"/>
      <c r="R23" s="14"/>
      <c r="S23" s="15"/>
      <c r="T23" s="15"/>
      <c r="U23" s="16"/>
    </row>
    <row r="24" spans="1:21" ht="12.75" outlineLevel="2">
      <c r="A24" s="4">
        <f>'Вміст замовлення'!A6</f>
        <v>2</v>
      </c>
      <c r="B24" s="4" t="str">
        <f>LOOKUP('Вміст замовлення'!B6,'Довідник товарів'!$A$2:$A$12,'Довідник товарів'!$B$2:$B$12)</f>
        <v>Плінтус</v>
      </c>
      <c r="C24" s="37" t="str">
        <f>LOOKUP(VLOOKUP('Вміст замовлення'!B6,'Довідник товарів'!$A$2:$C$12,3,0),'Довідник країн-виробників'!$A$2:$A$6,'Довідник країн-виробників'!$B$2:$B$6)</f>
        <v>Україна</v>
      </c>
      <c r="D24" s="13" t="str">
        <f>LOOKUP(VLOOKUP(A24,'Замовлення товарів'!$A$2:$B$17,2,0),'Довідник фірм'!$A$2:$A$5,'Довідник фірм'!$B$2:$B$5&amp;", "&amp;'Довідник фірм'!$C$2:$C$5)</f>
        <v>ЮКЕН, 435-61-92</v>
      </c>
      <c r="E24" s="33">
        <f>VLOOKUP('Замовлення товарів'!$A$3,'Замовлення товарів'!$A$2:$D$17,3,0)</f>
        <v>39763</v>
      </c>
      <c r="F24" s="3">
        <f t="shared" si="4"/>
        <v>11</v>
      </c>
      <c r="G24" s="33">
        <f>VLOOKUP('Замовлення товарів'!$A$3,'Замовлення товарів'!$A$2:$D$17,4,0)</f>
        <v>39770</v>
      </c>
      <c r="H24" s="4">
        <f>'Вміст замовлення'!C6</f>
        <v>400</v>
      </c>
      <c r="I24" s="39">
        <f>IF(H24&gt;=200,VLOOKUP('Вміст замовлення'!B6,'Довідник товарів'!$A$2:$E$12,5,0),VLOOKUP('Вміст замовлення'!B6,'Довідник товарів'!$A$2:$E$12,4,0))</f>
        <v>2.8</v>
      </c>
      <c r="J24" s="34">
        <f t="shared" si="5"/>
        <v>1120</v>
      </c>
      <c r="L24" s="17"/>
      <c r="M24" s="26" t="s">
        <v>44</v>
      </c>
      <c r="N24" s="18" t="s">
        <v>45</v>
      </c>
      <c r="O24" s="18" t="s">
        <v>46</v>
      </c>
      <c r="P24" s="27" t="s">
        <v>52</v>
      </c>
      <c r="Q24" s="18"/>
      <c r="R24" s="17"/>
      <c r="S24" s="26" t="s">
        <v>44</v>
      </c>
      <c r="T24" s="20">
        <v>5</v>
      </c>
      <c r="U24" s="19"/>
    </row>
    <row r="25" spans="1:21" ht="12.75" outlineLevel="2">
      <c r="A25" s="4">
        <f>'Вміст замовлення'!A7</f>
        <v>2</v>
      </c>
      <c r="B25" s="4" t="str">
        <f>LOOKUP('Вміст замовлення'!B7,'Довідник товарів'!$A$2:$A$12,'Довідник товарів'!$B$2:$B$12)</f>
        <v>Плінтус</v>
      </c>
      <c r="C25" s="37" t="str">
        <f>LOOKUP(VLOOKUP('Вміст замовлення'!B7,'Довідник товарів'!$A$2:$C$12,3,0),'Довідник країн-виробників'!$A$2:$A$6,'Довідник країн-виробників'!$B$2:$B$6)</f>
        <v>Німеччина</v>
      </c>
      <c r="D25" s="13" t="str">
        <f>LOOKUP(VLOOKUP(A25,'Замовлення товарів'!$A$2:$B$17,2,0),'Довідник фірм'!$A$2:$A$5,'Довідник фірм'!$B$2:$B$5&amp;", "&amp;'Довідник фірм'!$C$2:$C$5)</f>
        <v>ЮКЕН, 435-61-92</v>
      </c>
      <c r="E25" s="33">
        <f>VLOOKUP('Замовлення товарів'!$A$3,'Замовлення товарів'!$A$2:$D$17,3,0)</f>
        <v>39763</v>
      </c>
      <c r="F25" s="3">
        <f t="shared" si="4"/>
        <v>11</v>
      </c>
      <c r="G25" s="33">
        <f>VLOOKUP('Замовлення товарів'!$A$3,'Замовлення товарів'!$A$2:$D$17,4,0)</f>
        <v>39770</v>
      </c>
      <c r="H25" s="4">
        <f>'Вміст замовлення'!C7</f>
        <v>200</v>
      </c>
      <c r="I25" s="39">
        <f>IF(H25&gt;=200,VLOOKUP('Вміст замовлення'!B7,'Довідник товарів'!$A$2:$E$12,5,0),VLOOKUP('Вміст замовлення'!B7,'Довідник товарів'!$A$2:$E$12,4,0))</f>
        <v>5.8</v>
      </c>
      <c r="J25" s="34">
        <f t="shared" si="5"/>
        <v>1160</v>
      </c>
      <c r="L25" s="17"/>
      <c r="M25" s="18">
        <v>1</v>
      </c>
      <c r="N25" s="18" t="s">
        <v>47</v>
      </c>
      <c r="O25" s="18">
        <v>34</v>
      </c>
      <c r="P25" s="28">
        <v>1</v>
      </c>
      <c r="Q25" s="18"/>
      <c r="R25" s="17"/>
      <c r="S25" s="18"/>
      <c r="T25" s="18"/>
      <c r="U25" s="19"/>
    </row>
    <row r="26" spans="1:21" ht="12.75" outlineLevel="2">
      <c r="A26" s="4">
        <f>'Вміст замовлення'!A8</f>
        <v>3</v>
      </c>
      <c r="B26" s="4" t="str">
        <f>LOOKUP('Вміст замовлення'!B8,'Довідник товарів'!$A$2:$A$12,'Довідник товарів'!$B$2:$B$12)</f>
        <v>Лінолеум</v>
      </c>
      <c r="C26" s="37" t="str">
        <f>LOOKUP(VLOOKUP('Вміст замовлення'!B8,'Довідник товарів'!$A$2:$C$12,3,0),'Довідник країн-виробників'!$A$2:$A$6,'Довідник країн-виробників'!$B$2:$B$6)</f>
        <v>Україна</v>
      </c>
      <c r="D26" s="13" t="str">
        <f>LOOKUP(VLOOKUP(A26,'Замовлення товарів'!$A$2:$B$17,2,0),'Довідник фірм'!$A$2:$A$5,'Довідник фірм'!$B$2:$B$5&amp;", "&amp;'Довідник фірм'!$C$2:$C$5)</f>
        <v>АЛЬТАІР, 442-91-74</v>
      </c>
      <c r="E26" s="33">
        <f>VLOOKUP('Замовлення товарів'!$A$4,'Замовлення товарів'!$A$2:$D$17,3,0)</f>
        <v>39769</v>
      </c>
      <c r="F26" s="3">
        <f t="shared" si="4"/>
        <v>11</v>
      </c>
      <c r="G26" s="33" t="str">
        <f>VLOOKUP('Замовлення товарів'!$A$4,'Замовлення товарів'!$A$2:$D$17,4,0)</f>
        <v>не оплачено</v>
      </c>
      <c r="H26" s="4">
        <f>'Вміст замовлення'!C8</f>
        <v>45</v>
      </c>
      <c r="I26" s="39">
        <f>IF(H26&gt;=200,VLOOKUP('Вміст замовлення'!B8,'Довідник товарів'!$A$2:$E$12,5,0),VLOOKUP('Вміст замовлення'!B8,'Довідник товарів'!$A$2:$E$12,4,0))</f>
        <v>3</v>
      </c>
      <c r="J26" s="34">
        <f t="shared" si="5"/>
        <v>135</v>
      </c>
      <c r="L26" s="17"/>
      <c r="M26" s="18">
        <v>4</v>
      </c>
      <c r="N26" s="18" t="s">
        <v>48</v>
      </c>
      <c r="O26" s="18">
        <v>55</v>
      </c>
      <c r="P26" s="28">
        <v>5.23</v>
      </c>
      <c r="Q26" s="18"/>
      <c r="R26" s="17"/>
      <c r="S26" s="27" t="s">
        <v>52</v>
      </c>
      <c r="T26" s="29">
        <f>VLOOKUP(T24,M25:P29,4,0)</f>
        <v>10.4</v>
      </c>
      <c r="U26" s="19"/>
    </row>
    <row r="27" spans="1:21" ht="12.75" outlineLevel="2">
      <c r="A27" s="4">
        <f>'Вміст замовлення'!A9</f>
        <v>3</v>
      </c>
      <c r="B27" s="4" t="str">
        <f>LOOKUP('Вміст замовлення'!B9,'Довідник товарів'!$A$2:$A$12,'Довідник товарів'!$B$2:$B$12)</f>
        <v>Підвісні стелі</v>
      </c>
      <c r="C27" s="37" t="str">
        <f>LOOKUP(VLOOKUP('Вміст замовлення'!B9,'Довідник товарів'!$A$2:$C$12,3,0),'Довідник країн-виробників'!$A$2:$A$6,'Довідник країн-виробників'!$B$2:$B$6)</f>
        <v>Німеччина</v>
      </c>
      <c r="D27" s="13" t="str">
        <f>LOOKUP(VLOOKUP(A27,'Замовлення товарів'!$A$2:$B$17,2,0),'Довідник фірм'!$A$2:$A$5,'Довідник фірм'!$B$2:$B$5&amp;", "&amp;'Довідник фірм'!$C$2:$C$5)</f>
        <v>АЛЬТАІР, 442-91-74</v>
      </c>
      <c r="E27" s="33">
        <f>VLOOKUP('Замовлення товарів'!$A$4,'Замовлення товарів'!$A$2:$D$17,3,0)</f>
        <v>39769</v>
      </c>
      <c r="F27" s="3">
        <f t="shared" si="4"/>
        <v>11</v>
      </c>
      <c r="G27" s="33" t="str">
        <f>VLOOKUP('Замовлення товарів'!$A$4,'Замовлення товарів'!$A$2:$D$17,4,0)</f>
        <v>не оплачено</v>
      </c>
      <c r="H27" s="4">
        <f>'Вміст замовлення'!C9</f>
        <v>120</v>
      </c>
      <c r="I27" s="39">
        <f>IF(H27&gt;=200,VLOOKUP('Вміст замовлення'!B9,'Довідник товарів'!$A$2:$E$12,5,0),VLOOKUP('Вміст замовлення'!B9,'Довідник товарів'!$A$2:$E$12,4,0))</f>
        <v>6.8</v>
      </c>
      <c r="J27" s="34">
        <f t="shared" si="5"/>
        <v>816</v>
      </c>
      <c r="L27" s="17"/>
      <c r="M27" s="18">
        <v>3</v>
      </c>
      <c r="N27" s="18" t="s">
        <v>49</v>
      </c>
      <c r="O27" s="18">
        <v>21</v>
      </c>
      <c r="P27" s="28">
        <v>1.2</v>
      </c>
      <c r="Q27" s="18"/>
      <c r="R27" s="17"/>
      <c r="S27" s="18"/>
      <c r="T27" s="18"/>
      <c r="U27" s="19"/>
    </row>
    <row r="28" spans="1:21" ht="12.75" outlineLevel="2">
      <c r="A28" s="4">
        <f>'Вміст замовлення'!A10</f>
        <v>3</v>
      </c>
      <c r="B28" s="4" t="str">
        <f>LOOKUP('Вміст замовлення'!B10,'Довідник товарів'!$A$2:$A$12,'Довідник товарів'!$B$2:$B$12)</f>
        <v>Паркет</v>
      </c>
      <c r="C28" s="37" t="str">
        <f>LOOKUP(VLOOKUP('Вміст замовлення'!B10,'Довідник товарів'!$A$2:$C$12,3,0),'Довідник країн-виробників'!$A$2:$A$6,'Довідник країн-виробників'!$B$2:$B$6)</f>
        <v>Франція</v>
      </c>
      <c r="D28" s="13" t="str">
        <f>LOOKUP(VLOOKUP(A28,'Замовлення товарів'!$A$2:$B$17,2,0),'Довідник фірм'!$A$2:$A$5,'Довідник фірм'!$B$2:$B$5&amp;", "&amp;'Довідник фірм'!$C$2:$C$5)</f>
        <v>АЛЬТАІР, 442-91-74</v>
      </c>
      <c r="E28" s="33">
        <f>VLOOKUP('Замовлення товарів'!$A$4,'Замовлення товарів'!$A$2:$D$17,3,0)</f>
        <v>39769</v>
      </c>
      <c r="F28" s="3">
        <f t="shared" si="4"/>
        <v>11</v>
      </c>
      <c r="G28" s="33" t="str">
        <f>VLOOKUP('Замовлення товарів'!$A$4,'Замовлення товарів'!$A$2:$D$17,4,0)</f>
        <v>не оплачено</v>
      </c>
      <c r="H28" s="4">
        <f>'Вміст замовлення'!C10</f>
        <v>300</v>
      </c>
      <c r="I28" s="39">
        <f>IF(H28&gt;=200,VLOOKUP('Вміст замовлення'!B10,'Довідник товарів'!$A$2:$E$12,5,0),VLOOKUP('Вміст замовлення'!B10,'Довідник товарів'!$A$2:$E$12,4,0))</f>
        <v>16.5</v>
      </c>
      <c r="J28" s="34">
        <f t="shared" si="5"/>
        <v>4950</v>
      </c>
      <c r="L28" s="17"/>
      <c r="M28" s="18">
        <v>2</v>
      </c>
      <c r="N28" s="18" t="s">
        <v>50</v>
      </c>
      <c r="O28" s="18">
        <v>46</v>
      </c>
      <c r="P28" s="28">
        <v>6.35</v>
      </c>
      <c r="Q28" s="18"/>
      <c r="R28" s="17"/>
      <c r="S28" s="18"/>
      <c r="T28" s="18"/>
      <c r="U28" s="19"/>
    </row>
    <row r="29" spans="1:21" ht="12.75" outlineLevel="2">
      <c r="A29" s="4">
        <f>'Вміст замовлення'!A11</f>
        <v>4</v>
      </c>
      <c r="B29" s="4" t="str">
        <f>LOOKUP('Вміст замовлення'!B11,'Довідник товарів'!$A$2:$A$12,'Довідник товарів'!$B$2:$B$12)</f>
        <v>Декоративні панелі</v>
      </c>
      <c r="C29" s="37" t="str">
        <f>LOOKUP(VLOOKUP('Вміст замовлення'!B11,'Довідник товарів'!$A$2:$C$12,3,0),'Довідник країн-виробників'!$A$2:$A$6,'Довідник країн-виробників'!$B$2:$B$6)</f>
        <v>Німеччина</v>
      </c>
      <c r="D29" s="13" t="str">
        <f>LOOKUP(VLOOKUP(A29,'Замовлення товарів'!$A$2:$B$17,2,0),'Довідник фірм'!$A$2:$A$5,'Довідник фірм'!$B$2:$B$5&amp;", "&amp;'Довідник фірм'!$C$2:$C$5)</f>
        <v>АІМ, 224-50-71</v>
      </c>
      <c r="E29" s="33">
        <f>VLOOKUP('Замовлення товарів'!$A$5,'Замовлення товарів'!$A$2:$D$17,3,0)</f>
        <v>39778</v>
      </c>
      <c r="F29" s="3">
        <f t="shared" si="4"/>
        <v>11</v>
      </c>
      <c r="G29" s="33">
        <f>VLOOKUP('Замовлення товарів'!$A$5,'Замовлення товарів'!$A$2:$D$17,4,0)</f>
        <v>39791</v>
      </c>
      <c r="H29" s="4">
        <f>'Вміст замовлення'!C11</f>
        <v>100</v>
      </c>
      <c r="I29" s="39">
        <f>IF(H29&gt;=200,VLOOKUP('Вміст замовлення'!B11,'Довідник товарів'!$A$2:$E$12,5,0),VLOOKUP('Вміст замовлення'!B11,'Довідник товарів'!$A$2:$E$12,4,0))</f>
        <v>6.4</v>
      </c>
      <c r="J29" s="34">
        <f t="shared" si="5"/>
        <v>640</v>
      </c>
      <c r="L29" s="17"/>
      <c r="M29" s="18">
        <v>5</v>
      </c>
      <c r="N29" s="18" t="s">
        <v>51</v>
      </c>
      <c r="O29" s="18">
        <v>12</v>
      </c>
      <c r="P29" s="28">
        <v>10.4</v>
      </c>
      <c r="Q29" s="18"/>
      <c r="R29" s="17"/>
      <c r="S29" s="18"/>
      <c r="T29" s="18"/>
      <c r="U29" s="19"/>
    </row>
    <row r="30" spans="1:21" ht="12.75" outlineLevel="2">
      <c r="A30" s="4">
        <f>'Вміст замовлення'!A12</f>
        <v>4</v>
      </c>
      <c r="B30" s="4" t="str">
        <f>LOOKUP('Вміст замовлення'!B12,'Довідник товарів'!$A$2:$A$12,'Довідник товарів'!$B$2:$B$12)</f>
        <v>Декоративні шпалери</v>
      </c>
      <c r="C30" s="37" t="str">
        <f>LOOKUP(VLOOKUP('Вміст замовлення'!B12,'Довідник товарів'!$A$2:$C$12,3,0),'Довідник країн-виробників'!$A$2:$A$6,'Довідник країн-виробників'!$B$2:$B$6)</f>
        <v>Німеччина</v>
      </c>
      <c r="D30" s="13" t="str">
        <f>LOOKUP(VLOOKUP(A30,'Замовлення товарів'!$A$2:$B$17,2,0),'Довідник фірм'!$A$2:$A$5,'Довідник фірм'!$B$2:$B$5&amp;", "&amp;'Довідник фірм'!$C$2:$C$5)</f>
        <v>АІМ, 224-50-71</v>
      </c>
      <c r="E30" s="33">
        <f>VLOOKUP('Замовлення товарів'!$A$5,'Замовлення товарів'!$A$2:$D$17,3,0)</f>
        <v>39778</v>
      </c>
      <c r="F30" s="3">
        <f t="shared" si="4"/>
        <v>11</v>
      </c>
      <c r="G30" s="33">
        <f>VLOOKUP('Замовлення товарів'!$A$5,'Замовлення товарів'!$A$2:$D$17,4,0)</f>
        <v>39791</v>
      </c>
      <c r="H30" s="4">
        <f>'Вміст замовлення'!C12</f>
        <v>600</v>
      </c>
      <c r="I30" s="39">
        <f>IF(H30&gt;=200,VLOOKUP('Вміст замовлення'!B12,'Довідник товарів'!$A$2:$E$12,5,0),VLOOKUP('Вміст замовлення'!B12,'Довідник товарів'!$A$2:$E$12,4,0))</f>
        <v>8.25</v>
      </c>
      <c r="J30" s="34">
        <f t="shared" si="5"/>
        <v>4950</v>
      </c>
      <c r="L30" s="21"/>
      <c r="M30" s="22"/>
      <c r="N30" s="22"/>
      <c r="O30" s="22"/>
      <c r="P30" s="22"/>
      <c r="Q30" s="22"/>
      <c r="R30" s="21"/>
      <c r="S30" s="22"/>
      <c r="T30" s="22"/>
      <c r="U30" s="23"/>
    </row>
    <row r="31" spans="1:10" ht="12.75" outlineLevel="2">
      <c r="A31" s="4">
        <f>'Вміст замовлення'!A13</f>
        <v>4</v>
      </c>
      <c r="B31" s="4" t="str">
        <f>LOOKUP('Вміст замовлення'!B13,'Довідник товарів'!$A$2:$A$12,'Довідник товарів'!$B$2:$B$12)</f>
        <v>Шпалери акрилові</v>
      </c>
      <c r="C31" s="37" t="str">
        <f>LOOKUP(VLOOKUP('Вміст замовлення'!B13,'Довідник товарів'!$A$2:$C$12,3,0),'Довідник країн-виробників'!$A$2:$A$6,'Довідник країн-виробників'!$B$2:$B$6)</f>
        <v>Німеччина</v>
      </c>
      <c r="D31" s="13" t="str">
        <f>LOOKUP(VLOOKUP(A31,'Замовлення товарів'!$A$2:$B$17,2,0),'Довідник фірм'!$A$2:$A$5,'Довідник фірм'!$B$2:$B$5&amp;", "&amp;'Довідник фірм'!$C$2:$C$5)</f>
        <v>АІМ, 224-50-71</v>
      </c>
      <c r="E31" s="33">
        <f>VLOOKUP('Замовлення товарів'!$A$5,'Замовлення товарів'!$A$2:$D$17,3,0)</f>
        <v>39778</v>
      </c>
      <c r="F31" s="3">
        <f t="shared" si="4"/>
        <v>11</v>
      </c>
      <c r="G31" s="33">
        <f>VLOOKUP('Замовлення товарів'!$A$5,'Замовлення товарів'!$A$2:$D$17,4,0)</f>
        <v>39791</v>
      </c>
      <c r="H31" s="4">
        <f>'Вміст замовлення'!C13</f>
        <v>550</v>
      </c>
      <c r="I31" s="39">
        <f>IF(H31&gt;=200,VLOOKUP('Вміст замовлення'!B13,'Довідник товарів'!$A$2:$E$12,5,0),VLOOKUP('Вміст замовлення'!B13,'Довідник товарів'!$A$2:$E$12,4,0))</f>
        <v>12.8</v>
      </c>
      <c r="J31" s="34">
        <f t="shared" si="5"/>
        <v>7040</v>
      </c>
    </row>
    <row r="32" spans="1:10" ht="12.75" outlineLevel="2">
      <c r="A32" s="4">
        <f>'Вміст замовлення'!A14</f>
        <v>5</v>
      </c>
      <c r="B32" s="4" t="str">
        <f>LOOKUP('Вміст замовлення'!B14,'Довідник товарів'!$A$2:$A$12,'Довідник товарів'!$B$2:$B$12)</f>
        <v>Підвісні стелі</v>
      </c>
      <c r="C32" s="37" t="str">
        <f>LOOKUP(VLOOKUP('Вміст замовлення'!B14,'Довідник товарів'!$A$2:$C$12,3,0),'Довідник країн-виробників'!$A$2:$A$6,'Довідник країн-виробників'!$B$2:$B$6)</f>
        <v>Німеччина</v>
      </c>
      <c r="D32" s="13" t="str">
        <f>LOOKUP(VLOOKUP(A32,'Замовлення товарів'!$A$2:$B$17,2,0),'Довідник фірм'!$A$2:$A$5,'Довідник фірм'!$B$2:$B$5&amp;", "&amp;'Довідник фірм'!$C$2:$C$5)</f>
        <v>Реставрація, 228-06-94</v>
      </c>
      <c r="E32" s="33">
        <f>VLOOKUP('Замовлення товарів'!$A$6,'Замовлення товарів'!$A$2:$D$17,3,0)</f>
        <v>39781</v>
      </c>
      <c r="F32" s="3">
        <f t="shared" si="4"/>
        <v>11</v>
      </c>
      <c r="G32" s="33" t="str">
        <f>VLOOKUP('Замовлення товарів'!$A$6,'Замовлення товарів'!$A$2:$D$17,4,0)</f>
        <v>не оплачено</v>
      </c>
      <c r="H32" s="4">
        <f>'Вміст замовлення'!C14</f>
        <v>200</v>
      </c>
      <c r="I32" s="39">
        <f>IF(H32&gt;=200,VLOOKUP('Вміст замовлення'!B14,'Довідник товарів'!$A$2:$E$12,5,0),VLOOKUP('Вміст замовлення'!B14,'Довідник товарів'!$A$2:$E$12,4,0))</f>
        <v>6.7</v>
      </c>
      <c r="J32" s="34">
        <f t="shared" si="5"/>
        <v>1340</v>
      </c>
    </row>
    <row r="33" spans="1:10" ht="12.75" outlineLevel="2">
      <c r="A33" s="4">
        <f>'Вміст замовлення'!A15</f>
        <v>5</v>
      </c>
      <c r="B33" s="4" t="str">
        <f>LOOKUP('Вміст замовлення'!B15,'Довідник товарів'!$A$2:$A$12,'Довідник товарів'!$B$2:$B$12)</f>
        <v>Лінолеум</v>
      </c>
      <c r="C33" s="37" t="str">
        <f>LOOKUP(VLOOKUP('Вміст замовлення'!B15,'Довідник товарів'!$A$2:$C$12,3,0),'Довідник країн-виробників'!$A$2:$A$6,'Довідник країн-виробників'!$B$2:$B$6)</f>
        <v>Україна</v>
      </c>
      <c r="D33" s="13" t="str">
        <f>LOOKUP(VLOOKUP(A33,'Замовлення товарів'!$A$2:$B$17,2,0),'Довідник фірм'!$A$2:$A$5,'Довідник фірм'!$B$2:$B$5&amp;", "&amp;'Довідник фірм'!$C$2:$C$5)</f>
        <v>Реставрація, 228-06-94</v>
      </c>
      <c r="E33" s="33">
        <f>VLOOKUP('Замовлення товарів'!$A$6,'Замовлення товарів'!$A$2:$D$17,3,0)</f>
        <v>39781</v>
      </c>
      <c r="F33" s="3">
        <f t="shared" si="4"/>
        <v>11</v>
      </c>
      <c r="G33" s="33" t="str">
        <f>VLOOKUP('Замовлення товарів'!$A$6,'Замовлення товарів'!$A$2:$D$17,4,0)</f>
        <v>не оплачено</v>
      </c>
      <c r="H33" s="4">
        <f>'Вміст замовлення'!C15</f>
        <v>50</v>
      </c>
      <c r="I33" s="39">
        <f>IF(H33&gt;=200,VLOOKUP('Вміст замовлення'!B15,'Довідник товарів'!$A$2:$E$12,5,0),VLOOKUP('Вміст замовлення'!B15,'Довідник товарів'!$A$2:$E$12,4,0))</f>
        <v>3</v>
      </c>
      <c r="J33" s="34">
        <f t="shared" si="5"/>
        <v>150</v>
      </c>
    </row>
    <row r="34" spans="1:10" ht="12.75" outlineLevel="2">
      <c r="A34" s="4">
        <f>'Вміст замовлення'!A16</f>
        <v>5</v>
      </c>
      <c r="B34" s="4" t="str">
        <f>LOOKUP('Вміст замовлення'!B16,'Довідник товарів'!$A$2:$A$12,'Довідник товарів'!$B$2:$B$12)</f>
        <v>Паркет</v>
      </c>
      <c r="C34" s="37" t="str">
        <f>LOOKUP(VLOOKUP('Вміст замовлення'!B16,'Довідник товарів'!$A$2:$C$12,3,0),'Довідник країн-виробників'!$A$2:$A$6,'Довідник країн-виробників'!$B$2:$B$6)</f>
        <v>Франція</v>
      </c>
      <c r="D34" s="13" t="str">
        <f>LOOKUP(VLOOKUP(A34,'Замовлення товарів'!$A$2:$B$17,2,0),'Довідник фірм'!$A$2:$A$5,'Довідник фірм'!$B$2:$B$5&amp;", "&amp;'Довідник фірм'!$C$2:$C$5)</f>
        <v>Реставрація, 228-06-94</v>
      </c>
      <c r="E34" s="33">
        <f>VLOOKUP('Замовлення товарів'!$A$6,'Замовлення товарів'!$A$2:$D$17,3,0)</f>
        <v>39781</v>
      </c>
      <c r="F34" s="3">
        <f t="shared" si="4"/>
        <v>11</v>
      </c>
      <c r="G34" s="33" t="str">
        <f>VLOOKUP('Замовлення товарів'!$A$6,'Замовлення товарів'!$A$2:$D$17,4,0)</f>
        <v>не оплачено</v>
      </c>
      <c r="H34" s="4">
        <f>'Вміст замовлення'!C16</f>
        <v>250</v>
      </c>
      <c r="I34" s="39">
        <f>IF(H34&gt;=200,VLOOKUP('Вміст замовлення'!B16,'Довідник товарів'!$A$2:$E$12,5,0),VLOOKUP('Вміст замовлення'!B16,'Довідник товарів'!$A$2:$E$12,4,0))</f>
        <v>16.5</v>
      </c>
      <c r="J34" s="34">
        <f t="shared" si="5"/>
        <v>4125</v>
      </c>
    </row>
    <row r="35" spans="1:10" ht="12.75" outlineLevel="1">
      <c r="A35" s="4"/>
      <c r="B35" s="4"/>
      <c r="C35" s="37"/>
      <c r="D35" s="13"/>
      <c r="E35" s="33"/>
      <c r="F35" s="43" t="s">
        <v>58</v>
      </c>
      <c r="G35" s="33"/>
      <c r="H35" s="4">
        <f>SUBTOTAL(9,H20:H34)</f>
        <v>4255</v>
      </c>
      <c r="I35" s="39"/>
      <c r="J35" s="34">
        <f>SUBTOTAL(9,J20:J34)</f>
        <v>35391.5</v>
      </c>
    </row>
    <row r="36" spans="1:10" s="38" customFormat="1" ht="12.75" outlineLevel="2">
      <c r="A36" s="4">
        <f>'Вміст замовлення'!A17</f>
        <v>6</v>
      </c>
      <c r="B36" s="4" t="str">
        <f>LOOKUP('Вміст замовлення'!B17,'Довідник товарів'!$A$2:$A$12,'Довідник товарів'!$B$2:$B$12)</f>
        <v>Лінолеум</v>
      </c>
      <c r="C36" s="37" t="str">
        <f>LOOKUP(VLOOKUP('Вміст замовлення'!B17,'Довідник товарів'!$A$2:$C$12,3,0),'Довідник країн-виробників'!$A$2:$A$6,'Довідник країн-виробників'!$B$2:$B$6)</f>
        <v>Україна</v>
      </c>
      <c r="D36" s="13" t="str">
        <f>LOOKUP(VLOOKUP(A36,'Замовлення товарів'!$A$2:$B$17,2,0),'Довідник фірм'!$A$2:$A$5,'Довідник фірм'!$B$2:$B$5&amp;", "&amp;'Довідник фірм'!$C$2:$C$5)</f>
        <v>ЮКЕН, 435-61-92</v>
      </c>
      <c r="E36" s="33">
        <f>VLOOKUP('Замовлення товарів'!$A$7,'Замовлення товарів'!$A$2:$D$17,3,0)</f>
        <v>39784</v>
      </c>
      <c r="F36" s="3">
        <f aca="true" t="shared" si="6" ref="F36:F50">MONTH(E36)</f>
        <v>12</v>
      </c>
      <c r="G36" s="33">
        <f>VLOOKUP('Замовлення товарів'!$A$7,'Замовлення товарів'!$A$2:$D$17,4,0)</f>
        <v>39799</v>
      </c>
      <c r="H36" s="4">
        <f>'Вміст замовлення'!C17</f>
        <v>180</v>
      </c>
      <c r="I36" s="39">
        <f>IF(H36&gt;=200,VLOOKUP('Вміст замовлення'!B17,'Довідник товарів'!$A$2:$E$12,5,0),VLOOKUP('Вміст замовлення'!B17,'Довідник товарів'!$A$2:$E$12,4,0))</f>
        <v>3</v>
      </c>
      <c r="J36" s="34">
        <f aca="true" t="shared" si="7" ref="J36:J50">I36*H36</f>
        <v>540</v>
      </c>
    </row>
    <row r="37" spans="1:10" ht="12.75" outlineLevel="2">
      <c r="A37" s="4">
        <f>'Вміст замовлення'!A18</f>
        <v>6</v>
      </c>
      <c r="B37" s="4" t="str">
        <f>LOOKUP('Вміст замовлення'!B18,'Довідник товарів'!$A$2:$A$12,'Довідник товарів'!$B$2:$B$12)</f>
        <v>Панелі </v>
      </c>
      <c r="C37" s="37" t="str">
        <f>LOOKUP(VLOOKUP('Вміст замовлення'!B18,'Довідник товарів'!$A$2:$C$12,3,0),'Довідник країн-виробників'!$A$2:$A$6,'Довідник країн-виробників'!$B$2:$B$6)</f>
        <v>Бельгія</v>
      </c>
      <c r="D37" s="13" t="str">
        <f>LOOKUP(VLOOKUP(A37,'Замовлення товарів'!$A$2:$B$17,2,0),'Довідник фірм'!$A$2:$A$5,'Довідник фірм'!$B$2:$B$5&amp;", "&amp;'Довідник фірм'!$C$2:$C$5)</f>
        <v>ЮКЕН, 435-61-92</v>
      </c>
      <c r="E37" s="33">
        <f>VLOOKUP('Замовлення товарів'!$A$7,'Замовлення товарів'!$A$2:$D$17,3,0)</f>
        <v>39784</v>
      </c>
      <c r="F37" s="3">
        <f t="shared" si="6"/>
        <v>12</v>
      </c>
      <c r="G37" s="33">
        <f>VLOOKUP('Замовлення товарів'!$A$7,'Замовлення товарів'!$A$2:$D$17,4,0)</f>
        <v>39799</v>
      </c>
      <c r="H37" s="4">
        <f>'Вміст замовлення'!C18</f>
        <v>200</v>
      </c>
      <c r="I37" s="39">
        <f>IF(H37&gt;=200,VLOOKUP('Вміст замовлення'!B18,'Довідник товарів'!$A$2:$E$12,5,0),VLOOKUP('Вміст замовлення'!B18,'Довідник товарів'!$A$2:$E$12,4,0))</f>
        <v>5.6</v>
      </c>
      <c r="J37" s="34">
        <f t="shared" si="7"/>
        <v>1120</v>
      </c>
    </row>
    <row r="38" spans="1:10" ht="12.75" outlineLevel="2">
      <c r="A38" s="4">
        <f>'Вміст замовлення'!A19</f>
        <v>6</v>
      </c>
      <c r="B38" s="4" t="str">
        <f>LOOKUP('Вміст замовлення'!B19,'Довідник товарів'!$A$2:$A$12,'Довідник товарів'!$B$2:$B$12)</f>
        <v>Плінтус</v>
      </c>
      <c r="C38" s="37" t="str">
        <f>LOOKUP(VLOOKUP('Вміст замовлення'!B19,'Довідник товарів'!$A$2:$C$12,3,0),'Довідник країн-виробників'!$A$2:$A$6,'Довідник країн-виробників'!$B$2:$B$6)</f>
        <v>Німеччина</v>
      </c>
      <c r="D38" s="13" t="str">
        <f>LOOKUP(VLOOKUP(A38,'Замовлення товарів'!$A$2:$B$17,2,0),'Довідник фірм'!$A$2:$A$5,'Довідник фірм'!$B$2:$B$5&amp;", "&amp;'Довідник фірм'!$C$2:$C$5)</f>
        <v>ЮКЕН, 435-61-92</v>
      </c>
      <c r="E38" s="33">
        <f>VLOOKUP('Замовлення товарів'!$A$7,'Замовлення товарів'!$A$2:$D$17,3,0)</f>
        <v>39784</v>
      </c>
      <c r="F38" s="3">
        <f t="shared" si="6"/>
        <v>12</v>
      </c>
      <c r="G38" s="33">
        <f>VLOOKUP('Замовлення товарів'!$A$7,'Замовлення товарів'!$A$2:$D$17,4,0)</f>
        <v>39799</v>
      </c>
      <c r="H38" s="4">
        <f>'Вміст замовлення'!C19</f>
        <v>250</v>
      </c>
      <c r="I38" s="39">
        <f>IF(H38&gt;=200,VLOOKUP('Вміст замовлення'!B19,'Довідник товарів'!$A$2:$E$12,5,0),VLOOKUP('Вміст замовлення'!B19,'Довідник товарів'!$A$2:$E$12,4,0))</f>
        <v>5.8</v>
      </c>
      <c r="J38" s="34">
        <f t="shared" si="7"/>
        <v>1450</v>
      </c>
    </row>
    <row r="39" spans="1:10" ht="12.75" outlineLevel="2">
      <c r="A39" s="4">
        <f>'Вміст замовлення'!A20</f>
        <v>6</v>
      </c>
      <c r="B39" s="4" t="str">
        <f>LOOKUP('Вміст замовлення'!B20,'Довідник товарів'!$A$2:$A$12,'Довідник товарів'!$B$2:$B$12)</f>
        <v>Лінолеум</v>
      </c>
      <c r="C39" s="37" t="str">
        <f>LOOKUP(VLOOKUP('Вміст замовлення'!B20,'Довідник товарів'!$A$2:$C$12,3,0),'Довідник країн-виробників'!$A$2:$A$6,'Довідник країн-виробників'!$B$2:$B$6)</f>
        <v>Німеччина</v>
      </c>
      <c r="D39" s="13" t="str">
        <f>LOOKUP(VLOOKUP(A39,'Замовлення товарів'!$A$2:$B$17,2,0),'Довідник фірм'!$A$2:$A$5,'Довідник фірм'!$B$2:$B$5&amp;", "&amp;'Довідник фірм'!$C$2:$C$5)</f>
        <v>ЮКЕН, 435-61-92</v>
      </c>
      <c r="E39" s="33">
        <f>VLOOKUP('Замовлення товарів'!$A$7,'Замовлення товарів'!$A$2:$D$17,3,0)</f>
        <v>39784</v>
      </c>
      <c r="F39" s="3">
        <f t="shared" si="6"/>
        <v>12</v>
      </c>
      <c r="G39" s="33">
        <f>VLOOKUP('Замовлення товарів'!$A$7,'Замовлення товарів'!$A$2:$D$17,4,0)</f>
        <v>39799</v>
      </c>
      <c r="H39" s="4">
        <f>'Вміст замовлення'!C20</f>
        <v>300</v>
      </c>
      <c r="I39" s="39">
        <f>IF(H39&gt;=200,VLOOKUP('Вміст замовлення'!B20,'Довідник товарів'!$A$2:$E$12,5,0),VLOOKUP('Вміст замовлення'!B20,'Довідник товарів'!$A$2:$E$12,4,0))</f>
        <v>5.3</v>
      </c>
      <c r="J39" s="34">
        <f t="shared" si="7"/>
        <v>1590</v>
      </c>
    </row>
    <row r="40" spans="1:10" ht="12.75" outlineLevel="2">
      <c r="A40" s="4">
        <f>'Вміст замовлення'!A21</f>
        <v>7</v>
      </c>
      <c r="B40" s="4" t="str">
        <f>LOOKUP('Вміст замовлення'!B21,'Довідник товарів'!$A$2:$A$12,'Довідник товарів'!$B$2:$B$12)</f>
        <v>Панелі </v>
      </c>
      <c r="C40" s="37" t="str">
        <f>LOOKUP(VLOOKUP('Вміст замовлення'!B21,'Довідник товарів'!$A$2:$C$12,3,0),'Довідник країн-виробників'!$A$2:$A$6,'Довідник країн-виробників'!$B$2:$B$6)</f>
        <v>Голландія</v>
      </c>
      <c r="D40" s="13" t="str">
        <f>LOOKUP(VLOOKUP(A40,'Замовлення товарів'!$A$2:$B$17,2,0),'Довідник фірм'!$A$2:$A$5,'Довідник фірм'!$B$2:$B$5&amp;", "&amp;'Довідник фірм'!$C$2:$C$5)</f>
        <v>АЛЬТАІР, 442-91-74</v>
      </c>
      <c r="E40" s="33">
        <f>VLOOKUP('Замовлення товарів'!$A$8,'Замовлення товарів'!$A$2:$D$17,3,0)</f>
        <v>39793</v>
      </c>
      <c r="F40" s="3">
        <f t="shared" si="6"/>
        <v>12</v>
      </c>
      <c r="G40" s="33">
        <f>VLOOKUP('Замовлення товарів'!$A$8,'Замовлення товарів'!$A$2:$D$17,4,0)</f>
        <v>39812</v>
      </c>
      <c r="H40" s="4">
        <f>'Вміст замовлення'!C21</f>
        <v>350</v>
      </c>
      <c r="I40" s="39">
        <f>IF(H40&gt;=200,VLOOKUP('Вміст замовлення'!B21,'Довідник товарів'!$A$2:$E$12,5,0),VLOOKUP('Вміст замовлення'!B21,'Довідник товарів'!$A$2:$E$12,4,0))</f>
        <v>5.35</v>
      </c>
      <c r="J40" s="34">
        <f t="shared" si="7"/>
        <v>1872.4999999999998</v>
      </c>
    </row>
    <row r="41" spans="1:10" ht="12.75" outlineLevel="2">
      <c r="A41" s="4">
        <f>'Вміст замовлення'!A22</f>
        <v>7</v>
      </c>
      <c r="B41" s="4" t="str">
        <f>LOOKUP('Вміст замовлення'!B22,'Довідник товарів'!$A$2:$A$12,'Довідник товарів'!$B$2:$B$12)</f>
        <v>Плінтус</v>
      </c>
      <c r="C41" s="37" t="str">
        <f>LOOKUP(VLOOKUP('Вміст замовлення'!B22,'Довідник товарів'!$A$2:$C$12,3,0),'Довідник країн-виробників'!$A$2:$A$6,'Довідник країн-виробників'!$B$2:$B$6)</f>
        <v>Україна</v>
      </c>
      <c r="D41" s="13" t="str">
        <f>LOOKUP(VLOOKUP(A41,'Замовлення товарів'!$A$2:$B$17,2,0),'Довідник фірм'!$A$2:$A$5,'Довідник фірм'!$B$2:$B$5&amp;", "&amp;'Довідник фірм'!$C$2:$C$5)</f>
        <v>АЛЬТАІР, 442-91-74</v>
      </c>
      <c r="E41" s="33">
        <f>VLOOKUP('Замовлення товарів'!$A$8,'Замовлення товарів'!$A$2:$D$17,3,0)</f>
        <v>39793</v>
      </c>
      <c r="F41" s="3">
        <f t="shared" si="6"/>
        <v>12</v>
      </c>
      <c r="G41" s="33">
        <f>VLOOKUP('Замовлення товарів'!$A$8,'Замовлення товарів'!$A$2:$D$17,4,0)</f>
        <v>39812</v>
      </c>
      <c r="H41" s="4">
        <f>'Вміст замовлення'!C22</f>
        <v>100</v>
      </c>
      <c r="I41" s="39">
        <f>IF(H41&gt;=200,VLOOKUP('Вміст замовлення'!B22,'Довідник товарів'!$A$2:$E$12,5,0),VLOOKUP('Вміст замовлення'!B22,'Довідник товарів'!$A$2:$E$12,4,0))</f>
        <v>2.9</v>
      </c>
      <c r="J41" s="34">
        <f t="shared" si="7"/>
        <v>290</v>
      </c>
    </row>
    <row r="42" spans="1:10" ht="12.75" outlineLevel="2">
      <c r="A42" s="4">
        <f>'Вміст замовлення'!A23</f>
        <v>8</v>
      </c>
      <c r="B42" s="4" t="str">
        <f>LOOKUP('Вміст замовлення'!B23,'Довідник товарів'!$A$2:$A$12,'Довідник товарів'!$B$2:$B$12)</f>
        <v>Плінтус</v>
      </c>
      <c r="C42" s="37" t="str">
        <f>LOOKUP(VLOOKUP('Вміст замовлення'!B23,'Довідник товарів'!$A$2:$C$12,3,0),'Довідник країн-виробників'!$A$2:$A$6,'Довідник країн-виробників'!$B$2:$B$6)</f>
        <v>Німеччина</v>
      </c>
      <c r="D42" s="13" t="str">
        <f>LOOKUP(VLOOKUP(A42,'Замовлення товарів'!$A$2:$B$17,2,0),'Довідник фірм'!$A$2:$A$5,'Довідник фірм'!$B$2:$B$5&amp;", "&amp;'Довідник фірм'!$C$2:$C$5)</f>
        <v>АІМ, 224-50-71</v>
      </c>
      <c r="E42" s="33">
        <f>VLOOKUP('Замовлення товарів'!$A$9,'Замовлення товарів'!$A$2:$D$17,3,0)</f>
        <v>39796</v>
      </c>
      <c r="F42" s="3">
        <f t="shared" si="6"/>
        <v>12</v>
      </c>
      <c r="G42" s="33" t="str">
        <f>VLOOKUP('Замовлення товарів'!$A$9,'Замовлення товарів'!$A$2:$D$17,4,0)</f>
        <v>не оплачено</v>
      </c>
      <c r="H42" s="4">
        <f>'Вміст замовлення'!C23</f>
        <v>150</v>
      </c>
      <c r="I42" s="39">
        <f>IF(H42&gt;=200,VLOOKUP('Вміст замовлення'!B23,'Довідник товарів'!$A$2:$E$12,5,0),VLOOKUP('Вміст замовлення'!B23,'Довідник товарів'!$A$2:$E$12,4,0))</f>
        <v>5.9</v>
      </c>
      <c r="J42" s="34">
        <f t="shared" si="7"/>
        <v>885</v>
      </c>
    </row>
    <row r="43" spans="1:10" ht="12.75" outlineLevel="2">
      <c r="A43" s="4">
        <f>'Вміст замовлення'!A24</f>
        <v>8</v>
      </c>
      <c r="B43" s="4" t="str">
        <f>LOOKUP('Вміст замовлення'!B24,'Довідник товарів'!$A$2:$A$12,'Довідник товарів'!$B$2:$B$12)</f>
        <v>Лінолеум</v>
      </c>
      <c r="C43" s="37" t="str">
        <f>LOOKUP(VLOOKUP('Вміст замовлення'!B24,'Довідник товарів'!$A$2:$C$12,3,0),'Довідник країн-виробників'!$A$2:$A$6,'Довідник країн-виробників'!$B$2:$B$6)</f>
        <v>Україна</v>
      </c>
      <c r="D43" s="13" t="str">
        <f>LOOKUP(VLOOKUP(A43,'Замовлення товарів'!$A$2:$B$17,2,0),'Довідник фірм'!$A$2:$A$5,'Довідник фірм'!$B$2:$B$5&amp;", "&amp;'Довідник фірм'!$C$2:$C$5)</f>
        <v>АІМ, 224-50-71</v>
      </c>
      <c r="E43" s="33">
        <f>VLOOKUP('Замовлення товарів'!$A$9,'Замовлення товарів'!$A$2:$D$17,3,0)</f>
        <v>39796</v>
      </c>
      <c r="F43" s="3">
        <f t="shared" si="6"/>
        <v>12</v>
      </c>
      <c r="G43" s="33" t="str">
        <f>VLOOKUP('Замовлення товарів'!$A$9,'Замовлення товарів'!$A$2:$D$17,4,0)</f>
        <v>не оплачено</v>
      </c>
      <c r="H43" s="4">
        <f>'Вміст замовлення'!C24</f>
        <v>50</v>
      </c>
      <c r="I43" s="39">
        <f>IF(H43&gt;=200,VLOOKUP('Вміст замовлення'!B24,'Довідник товарів'!$A$2:$E$12,5,0),VLOOKUP('Вміст замовлення'!B24,'Довідник товарів'!$A$2:$E$12,4,0))</f>
        <v>3</v>
      </c>
      <c r="J43" s="34">
        <f t="shared" si="7"/>
        <v>150</v>
      </c>
    </row>
    <row r="44" spans="1:10" ht="12.75" outlineLevel="2">
      <c r="A44" s="4">
        <f>'Вміст замовлення'!A25</f>
        <v>9</v>
      </c>
      <c r="B44" s="4" t="str">
        <f>LOOKUP('Вміст замовлення'!B25,'Довідник товарів'!$A$2:$A$12,'Довідник товарів'!$B$2:$B$12)</f>
        <v>Паркет</v>
      </c>
      <c r="C44" s="37" t="str">
        <f>LOOKUP(VLOOKUP('Вміст замовлення'!B25,'Довідник товарів'!$A$2:$C$12,3,0),'Довідник країн-виробників'!$A$2:$A$6,'Довідник країн-виробників'!$B$2:$B$6)</f>
        <v>Франція</v>
      </c>
      <c r="D44" s="13" t="str">
        <f>LOOKUP(VLOOKUP(A44,'Замовлення товарів'!$A$2:$B$17,2,0),'Довідник фірм'!$A$2:$A$5,'Довідник фірм'!$B$2:$B$5&amp;", "&amp;'Довідник фірм'!$C$2:$C$5)</f>
        <v>Реставрація, 228-06-94</v>
      </c>
      <c r="E44" s="33">
        <f>VLOOKUP('Замовлення товарів'!$A$10,'Замовлення товарів'!$A$2:$D$17,3,0)</f>
        <v>39807</v>
      </c>
      <c r="F44" s="3">
        <f t="shared" si="6"/>
        <v>12</v>
      </c>
      <c r="G44" s="33">
        <f>VLOOKUP('Замовлення товарів'!$A$10,'Замовлення товарів'!$A$2:$D$17,4,0)</f>
        <v>39818</v>
      </c>
      <c r="H44" s="4">
        <f>'Вміст замовлення'!C25</f>
        <v>130</v>
      </c>
      <c r="I44" s="39">
        <f>IF(H44&gt;=200,VLOOKUP('Вміст замовлення'!B25,'Довідник товарів'!$A$2:$E$12,5,0),VLOOKUP('Вміст замовлення'!B25,'Довідник товарів'!$A$2:$E$12,4,0))</f>
        <v>16.6</v>
      </c>
      <c r="J44" s="34">
        <f t="shared" si="7"/>
        <v>2158</v>
      </c>
    </row>
    <row r="45" spans="1:10" ht="12.75" outlineLevel="2">
      <c r="A45" s="4">
        <f>'Вміст замовлення'!A26</f>
        <v>9</v>
      </c>
      <c r="B45" s="4" t="str">
        <f>LOOKUP('Вміст замовлення'!B26,'Довідник товарів'!$A$2:$A$12,'Довідник товарів'!$B$2:$B$12)</f>
        <v>Декоративні панелі</v>
      </c>
      <c r="C45" s="37" t="str">
        <f>LOOKUP(VLOOKUP('Вміст замовлення'!B26,'Довідник товарів'!$A$2:$C$12,3,0),'Довідник країн-виробників'!$A$2:$A$6,'Довідник країн-виробників'!$B$2:$B$6)</f>
        <v>Німеччина</v>
      </c>
      <c r="D45" s="13" t="str">
        <f>LOOKUP(VLOOKUP(A45,'Замовлення товарів'!$A$2:$B$17,2,0),'Довідник фірм'!$A$2:$A$5,'Довідник фірм'!$B$2:$B$5&amp;", "&amp;'Довідник фірм'!$C$2:$C$5)</f>
        <v>Реставрація, 228-06-94</v>
      </c>
      <c r="E45" s="33">
        <f>VLOOKUP('Замовлення товарів'!$A$10,'Замовлення товарів'!$A$2:$D$17,3,0)</f>
        <v>39807</v>
      </c>
      <c r="F45" s="3">
        <f t="shared" si="6"/>
        <v>12</v>
      </c>
      <c r="G45" s="33">
        <f>VLOOKUP('Замовлення товарів'!$A$10,'Замовлення товарів'!$A$2:$D$17,4,0)</f>
        <v>39818</v>
      </c>
      <c r="H45" s="4">
        <f>'Вміст замовлення'!C26</f>
        <v>240</v>
      </c>
      <c r="I45" s="39">
        <f>IF(H45&gt;=200,VLOOKUP('Вміст замовлення'!B26,'Довідник товарів'!$A$2:$E$12,5,0),VLOOKUP('Вміст замовлення'!B26,'Довідник товарів'!$A$2:$E$12,4,0))</f>
        <v>6.3</v>
      </c>
      <c r="J45" s="34">
        <f t="shared" si="7"/>
        <v>1512</v>
      </c>
    </row>
    <row r="46" spans="1:10" ht="12.75" outlineLevel="2">
      <c r="A46" s="4">
        <f>'Вміст замовлення'!A27</f>
        <v>9</v>
      </c>
      <c r="B46" s="4" t="str">
        <f>LOOKUP('Вміст замовлення'!B27,'Довідник товарів'!$A$2:$A$12,'Довідник товарів'!$B$2:$B$12)</f>
        <v>Декоративні шпалери</v>
      </c>
      <c r="C46" s="37" t="str">
        <f>LOOKUP(VLOOKUP('Вміст замовлення'!B27,'Довідник товарів'!$A$2:$C$12,3,0),'Довідник країн-виробників'!$A$2:$A$6,'Довідник країн-виробників'!$B$2:$B$6)</f>
        <v>Німеччина</v>
      </c>
      <c r="D46" s="13" t="str">
        <f>LOOKUP(VLOOKUP(A46,'Замовлення товарів'!$A$2:$B$17,2,0),'Довідник фірм'!$A$2:$A$5,'Довідник фірм'!$B$2:$B$5&amp;", "&amp;'Довідник фірм'!$C$2:$C$5)</f>
        <v>Реставрація, 228-06-94</v>
      </c>
      <c r="E46" s="33">
        <f>VLOOKUP('Замовлення товарів'!$A$10,'Замовлення товарів'!$A$2:$D$17,3,0)</f>
        <v>39807</v>
      </c>
      <c r="F46" s="3">
        <f t="shared" si="6"/>
        <v>12</v>
      </c>
      <c r="G46" s="33">
        <f>VLOOKUP('Замовлення товарів'!$A$10,'Замовлення товарів'!$A$2:$D$17,4,0)</f>
        <v>39818</v>
      </c>
      <c r="H46" s="4">
        <f>'Вміст замовлення'!C27</f>
        <v>360</v>
      </c>
      <c r="I46" s="39">
        <f>IF(H46&gt;=200,VLOOKUP('Вміст замовлення'!B27,'Довідник товарів'!$A$2:$E$12,5,0),VLOOKUP('Вміст замовлення'!B27,'Довідник товарів'!$A$2:$E$12,4,0))</f>
        <v>8.25</v>
      </c>
      <c r="J46" s="34">
        <f t="shared" si="7"/>
        <v>2970</v>
      </c>
    </row>
    <row r="47" spans="1:10" ht="12.75" outlineLevel="2">
      <c r="A47" s="4">
        <f>'Вміст замовлення'!A28</f>
        <v>10</v>
      </c>
      <c r="B47" s="4" t="str">
        <f>LOOKUP('Вміст замовлення'!B28,'Довідник товарів'!$A$2:$A$12,'Довідник товарів'!$B$2:$B$12)</f>
        <v>Шпалери акрилові</v>
      </c>
      <c r="C47" s="37" t="str">
        <f>LOOKUP(VLOOKUP('Вміст замовлення'!B28,'Довідник товарів'!$A$2:$C$12,3,0),'Довідник країн-виробників'!$A$2:$A$6,'Довідник країн-виробників'!$B$2:$B$6)</f>
        <v>Німеччина</v>
      </c>
      <c r="D47" s="13" t="str">
        <f>LOOKUP(VLOOKUP(A47,'Замовлення товарів'!$A$2:$B$17,2,0),'Довідник фірм'!$A$2:$A$5,'Довідник фірм'!$B$2:$B$5&amp;", "&amp;'Довідник фірм'!$C$2:$C$5)</f>
        <v>ЮКЕН, 435-61-92</v>
      </c>
      <c r="E47" s="33">
        <f>VLOOKUP('Замовлення товарів'!$A$11,'Замовлення товарів'!$A$2:$D$17,3,0)</f>
        <v>39812</v>
      </c>
      <c r="F47" s="3">
        <f t="shared" si="6"/>
        <v>12</v>
      </c>
      <c r="G47" s="33" t="str">
        <f>VLOOKUP('Замовлення товарів'!$A$11,'Замовлення товарів'!$A$2:$D$17,4,0)</f>
        <v>не оплачено</v>
      </c>
      <c r="H47" s="4">
        <f>'Вміст замовлення'!C28</f>
        <v>280</v>
      </c>
      <c r="I47" s="39">
        <f>IF(H47&gt;=200,VLOOKUP('Вміст замовлення'!B28,'Довідник товарів'!$A$2:$E$12,5,0),VLOOKUP('Вміст замовлення'!B28,'Довідник товарів'!$A$2:$E$12,4,0))</f>
        <v>12.8</v>
      </c>
      <c r="J47" s="34">
        <f t="shared" si="7"/>
        <v>3584</v>
      </c>
    </row>
    <row r="48" spans="1:10" ht="12.75" outlineLevel="2">
      <c r="A48" s="4">
        <f>'Вміст замовлення'!A29</f>
        <v>10</v>
      </c>
      <c r="B48" s="4" t="str">
        <f>LOOKUP('Вміст замовлення'!B29,'Довідник товарів'!$A$2:$A$12,'Довідник товарів'!$B$2:$B$12)</f>
        <v>Підвісні стелі</v>
      </c>
      <c r="C48" s="37" t="str">
        <f>LOOKUP(VLOOKUP('Вміст замовлення'!B29,'Довідник товарів'!$A$2:$C$12,3,0),'Довідник країн-виробників'!$A$2:$A$6,'Довідник країн-виробників'!$B$2:$B$6)</f>
        <v>Німеччина</v>
      </c>
      <c r="D48" s="13" t="str">
        <f>LOOKUP(VLOOKUP(A48,'Замовлення товарів'!$A$2:$B$17,2,0),'Довідник фірм'!$A$2:$A$5,'Довідник фірм'!$B$2:$B$5&amp;", "&amp;'Довідник фірм'!$C$2:$C$5)</f>
        <v>ЮКЕН, 435-61-92</v>
      </c>
      <c r="E48" s="33">
        <f>VLOOKUP('Замовлення товарів'!$A$11,'Замовлення товарів'!$A$2:$D$17,3,0)</f>
        <v>39812</v>
      </c>
      <c r="F48" s="3">
        <f t="shared" si="6"/>
        <v>12</v>
      </c>
      <c r="G48" s="33" t="str">
        <f>VLOOKUP('Замовлення товарів'!$A$11,'Замовлення товарів'!$A$2:$D$17,4,0)</f>
        <v>не оплачено</v>
      </c>
      <c r="H48" s="4">
        <f>'Вміст замовлення'!C29</f>
        <v>320</v>
      </c>
      <c r="I48" s="39">
        <f>IF(H48&gt;=200,VLOOKUP('Вміст замовлення'!B29,'Довідник товарів'!$A$2:$E$12,5,0),VLOOKUP('Вміст замовлення'!B29,'Довідник товарів'!$A$2:$E$12,4,0))</f>
        <v>6.7</v>
      </c>
      <c r="J48" s="34">
        <f t="shared" si="7"/>
        <v>2144</v>
      </c>
    </row>
    <row r="49" spans="1:10" ht="12.75" outlineLevel="2">
      <c r="A49" s="4">
        <f>'Вміст замовлення'!A30</f>
        <v>10</v>
      </c>
      <c r="B49" s="4" t="str">
        <f>LOOKUP('Вміст замовлення'!B30,'Довідник товарів'!$A$2:$A$12,'Довідник товарів'!$B$2:$B$12)</f>
        <v>Лінолеум</v>
      </c>
      <c r="C49" s="37" t="str">
        <f>LOOKUP(VLOOKUP('Вміст замовлення'!B30,'Довідник товарів'!$A$2:$C$12,3,0),'Довідник країн-виробників'!$A$2:$A$6,'Довідник країн-виробників'!$B$2:$B$6)</f>
        <v>Україна</v>
      </c>
      <c r="D49" s="13" t="str">
        <f>LOOKUP(VLOOKUP(A49,'Замовлення товарів'!$A$2:$B$17,2,0),'Довідник фірм'!$A$2:$A$5,'Довідник фірм'!$B$2:$B$5&amp;", "&amp;'Довідник фірм'!$C$2:$C$5)</f>
        <v>ЮКЕН, 435-61-92</v>
      </c>
      <c r="E49" s="33">
        <f>VLOOKUP('Замовлення товарів'!$A$11,'Замовлення товарів'!$A$2:$D$17,3,0)</f>
        <v>39812</v>
      </c>
      <c r="F49" s="3">
        <f t="shared" si="6"/>
        <v>12</v>
      </c>
      <c r="G49" s="33" t="str">
        <f>VLOOKUP('Замовлення товарів'!$A$11,'Замовлення товарів'!$A$2:$D$17,4,0)</f>
        <v>не оплачено</v>
      </c>
      <c r="H49" s="4">
        <f>'Вміст замовлення'!C30</f>
        <v>210</v>
      </c>
      <c r="I49" s="39">
        <f>IF(H49&gt;=200,VLOOKUP('Вміст замовлення'!B30,'Довідник товарів'!$A$2:$E$12,5,0),VLOOKUP('Вміст замовлення'!B30,'Довідник товарів'!$A$2:$E$12,4,0))</f>
        <v>2.8</v>
      </c>
      <c r="J49" s="34">
        <f t="shared" si="7"/>
        <v>588</v>
      </c>
    </row>
    <row r="50" spans="1:10" ht="12.75" outlineLevel="2">
      <c r="A50" s="4">
        <f>'Вміст замовлення'!A31</f>
        <v>10</v>
      </c>
      <c r="B50" s="4" t="str">
        <f>LOOKUP('Вміст замовлення'!B31,'Довідник товарів'!$A$2:$A$12,'Довідник товарів'!$B$2:$B$12)</f>
        <v>Паркет</v>
      </c>
      <c r="C50" s="37" t="str">
        <f>LOOKUP(VLOOKUP('Вміст замовлення'!B31,'Довідник товарів'!$A$2:$C$12,3,0),'Довідник країн-виробників'!$A$2:$A$6,'Довідник країн-виробників'!$B$2:$B$6)</f>
        <v>Франція</v>
      </c>
      <c r="D50" s="13" t="str">
        <f>LOOKUP(VLOOKUP(A50,'Замовлення товарів'!$A$2:$B$17,2,0),'Довідник фірм'!$A$2:$A$5,'Довідник фірм'!$B$2:$B$5&amp;", "&amp;'Довідник фірм'!$C$2:$C$5)</f>
        <v>ЮКЕН, 435-61-92</v>
      </c>
      <c r="E50" s="33">
        <f>VLOOKUP('Замовлення товарів'!$A$11,'Замовлення товарів'!$A$2:$D$17,3,0)</f>
        <v>39812</v>
      </c>
      <c r="F50" s="3">
        <f t="shared" si="6"/>
        <v>12</v>
      </c>
      <c r="G50" s="33" t="str">
        <f>VLOOKUP('Замовлення товарів'!$A$11,'Замовлення товарів'!$A$2:$D$17,4,0)</f>
        <v>не оплачено</v>
      </c>
      <c r="H50" s="4">
        <f>'Вміст замовлення'!C31</f>
        <v>160</v>
      </c>
      <c r="I50" s="39">
        <f>IF(H50&gt;=200,VLOOKUP('Вміст замовлення'!B31,'Довідник товарів'!$A$2:$E$12,5,0),VLOOKUP('Вміст замовлення'!B31,'Довідник товарів'!$A$2:$E$12,4,0))</f>
        <v>16.6</v>
      </c>
      <c r="J50" s="34">
        <f t="shared" si="7"/>
        <v>2656</v>
      </c>
    </row>
    <row r="51" spans="1:10" ht="12.75" outlineLevel="1">
      <c r="A51" s="44"/>
      <c r="B51" s="44"/>
      <c r="C51" s="45"/>
      <c r="D51" s="18"/>
      <c r="E51" s="35"/>
      <c r="F51" s="47" t="s">
        <v>59</v>
      </c>
      <c r="G51" s="35"/>
      <c r="H51" s="44">
        <f>SUBTOTAL(9,H36:H50)</f>
        <v>3280</v>
      </c>
      <c r="I51" s="46"/>
      <c r="J51" s="28">
        <f>SUBTOTAL(9,J36:J50)</f>
        <v>23509.5</v>
      </c>
    </row>
    <row r="52" spans="1:10" ht="12.75">
      <c r="A52" s="44"/>
      <c r="B52" s="44"/>
      <c r="C52" s="45"/>
      <c r="D52" s="18"/>
      <c r="E52" s="35"/>
      <c r="F52" s="47" t="s">
        <v>60</v>
      </c>
      <c r="G52" s="35"/>
      <c r="H52" s="44">
        <f>SUBTOTAL(9,H3:H50)</f>
        <v>9375</v>
      </c>
      <c r="I52" s="46"/>
      <c r="J52" s="28">
        <f>SUBTOTAL(9,J3:J50)</f>
        <v>72338.5</v>
      </c>
    </row>
  </sheetData>
  <sheetProtection/>
  <mergeCells count="1">
    <mergeCell ref="C1:I1"/>
  </mergeCells>
  <dataValidations count="1">
    <dataValidation type="list" allowBlank="1" showInputMessage="1" showErrorMessage="1" sqref="T24">
      <formula1>$M$25:$M$29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56"/>
  <sheetViews>
    <sheetView tabSelected="1" zoomScale="90" zoomScaleNormal="90" zoomScalePageLayoutView="0" workbookViewId="0" topLeftCell="F1">
      <selection activeCell="D72" sqref="D72"/>
    </sheetView>
  </sheetViews>
  <sheetFormatPr defaultColWidth="9.00390625" defaultRowHeight="12.75" outlineLevelRow="2"/>
  <cols>
    <col min="1" max="1" width="26.75390625" style="10" bestFit="1" customWidth="1"/>
    <col min="2" max="2" width="12.125" style="2" customWidth="1"/>
    <col min="3" max="3" width="12.125" style="10" bestFit="1" customWidth="1"/>
    <col min="4" max="4" width="12.375" style="10" bestFit="1" customWidth="1"/>
    <col min="5" max="5" width="9.125" style="10" customWidth="1"/>
    <col min="6" max="7" width="10.625" style="10" bestFit="1" customWidth="1"/>
    <col min="8" max="9" width="9.125" style="10" customWidth="1"/>
    <col min="10" max="10" width="11.00390625" style="10" customWidth="1"/>
    <col min="11" max="11" width="14.125" style="10" bestFit="1" customWidth="1"/>
    <col min="12" max="12" width="10.125" style="10" bestFit="1" customWidth="1"/>
    <col min="13" max="14" width="9.125" style="10" customWidth="1"/>
    <col min="15" max="15" width="7.25390625" style="10" customWidth="1"/>
    <col min="16" max="16" width="7.125" style="10" customWidth="1"/>
    <col min="17" max="16384" width="9.125" style="10" customWidth="1"/>
  </cols>
  <sheetData>
    <row r="1" spans="1:7" ht="15.75">
      <c r="A1" s="53" t="s">
        <v>55</v>
      </c>
      <c r="B1" s="53"/>
      <c r="C1" s="53"/>
      <c r="D1" s="53"/>
      <c r="E1" s="53"/>
      <c r="F1" s="53"/>
      <c r="G1" s="53"/>
    </row>
    <row r="2" spans="1:16" s="11" customFormat="1" ht="25.5">
      <c r="A2" s="30" t="s">
        <v>16</v>
      </c>
      <c r="B2" s="30" t="s">
        <v>0</v>
      </c>
      <c r="C2" s="30" t="s">
        <v>2</v>
      </c>
      <c r="D2" s="30" t="s">
        <v>3</v>
      </c>
      <c r="E2" s="30" t="s">
        <v>37</v>
      </c>
      <c r="F2" s="30" t="s">
        <v>38</v>
      </c>
      <c r="G2" s="30" t="s">
        <v>39</v>
      </c>
      <c r="P2" s="31"/>
    </row>
    <row r="3" spans="1:23" ht="12.75" hidden="1" outlineLevel="2">
      <c r="A3" s="4" t="str">
        <f>LOOKUP('Вміст замовлення'!B11,'Довідник товарів'!$A$2:$A$12,'Довідник товарів'!$B$2:$B$12)</f>
        <v>Декоративні панелі</v>
      </c>
      <c r="B3" s="4">
        <f>'Вміст замовлення'!A11</f>
        <v>4</v>
      </c>
      <c r="C3" s="33">
        <f>VLOOKUP('Замовлення товарів'!$A$5,'Замовлення товарів'!$A$2:$D$17,3,0)</f>
        <v>39778</v>
      </c>
      <c r="D3" s="33">
        <f>VLOOKUP('Замовлення товарів'!$A$5,'Замовлення товарів'!$A$2:$D$17,4,0)</f>
        <v>39791</v>
      </c>
      <c r="E3" s="4">
        <f>'Вміст замовлення'!C11</f>
        <v>100</v>
      </c>
      <c r="F3" s="39">
        <f>IF(E3&gt;=200,VLOOKUP('Вміст замовлення'!B11,'Довідник товарів'!$A$2:$E$12,5,0),VLOOKUP('Вміст замовлення'!B11,'Довідник товарів'!$A$2:$E$12,4,0))</f>
        <v>6.4</v>
      </c>
      <c r="G3" s="34">
        <f>F3*E3</f>
        <v>640</v>
      </c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ht="12.75" hidden="1" outlineLevel="2">
      <c r="A4" s="4" t="str">
        <f>LOOKUP('Вміст замовлення'!B26,'Довідник товарів'!$A$2:$A$12,'Довідник товарів'!$B$2:$B$12)</f>
        <v>Декоративні панелі</v>
      </c>
      <c r="B4" s="4">
        <f>'Вміст замовлення'!A26</f>
        <v>9</v>
      </c>
      <c r="C4" s="33">
        <f>VLOOKUP('Замовлення товарів'!$A$10,'Замовлення товарів'!$A$2:$D$17,3,0)</f>
        <v>39807</v>
      </c>
      <c r="D4" s="33">
        <f>VLOOKUP('Замовлення товарів'!$A$10,'Замовлення товарів'!$A$2:$D$17,4,0)</f>
        <v>39818</v>
      </c>
      <c r="E4" s="4">
        <f>'Вміст замовлення'!C26</f>
        <v>240</v>
      </c>
      <c r="F4" s="39">
        <f>IF(E4&gt;=200,VLOOKUP('Вміст замовлення'!B26,'Довідник товарів'!$A$2:$E$12,5,0),VLOOKUP('Вміст замовлення'!B26,'Довідник товарів'!$A$2:$E$12,4,0))</f>
        <v>6.3</v>
      </c>
      <c r="G4" s="34">
        <f>F4*E4</f>
        <v>1512</v>
      </c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35"/>
      <c r="U4" s="18"/>
      <c r="V4" s="18"/>
      <c r="W4" s="18"/>
    </row>
    <row r="5" spans="1:23" ht="12.75" hidden="1" outlineLevel="2">
      <c r="A5" s="4" t="str">
        <f>LOOKUP('Вміст замовлення'!B35,'Довідник товарів'!$A$2:$A$12,'Довідник товарів'!$B$2:$B$12)</f>
        <v>Декоративні панелі</v>
      </c>
      <c r="B5" s="4">
        <f>'Вміст замовлення'!A35</f>
        <v>12</v>
      </c>
      <c r="C5" s="33">
        <f>VLOOKUP('Замовлення товарів'!$A$13,'Замовлення товарів'!$A$2:$D$17,3,0)</f>
        <v>39828</v>
      </c>
      <c r="D5" s="33">
        <f>VLOOKUP('Замовлення товарів'!$A$13,'Замовлення товарів'!$A$2:$D$17,4,0)</f>
        <v>39835</v>
      </c>
      <c r="E5" s="4">
        <f>'Вміст замовлення'!C35</f>
        <v>240</v>
      </c>
      <c r="F5" s="39">
        <f>IF(E5&gt;=200,VLOOKUP('Вміст замовлення'!B35,'Довідник товарів'!$A$2:$E$12,5,0),VLOOKUP('Вміст замовлення'!B35,'Довідник товарів'!$A$2:$E$12,4,0))</f>
        <v>6.3</v>
      </c>
      <c r="G5" s="34">
        <f>F5*E5</f>
        <v>1512</v>
      </c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35"/>
      <c r="U5" s="18"/>
      <c r="V5" s="18"/>
      <c r="W5" s="18"/>
    </row>
    <row r="6" spans="1:23" ht="12.75" hidden="1" outlineLevel="2">
      <c r="A6" s="4" t="str">
        <f>LOOKUP('Вміст замовлення'!B45,'Довідник товарів'!$A$2:$A$12,'Довідник товарів'!$B$2:$B$12)</f>
        <v>Декоративні панелі</v>
      </c>
      <c r="B6" s="4">
        <f>'Вміст замовлення'!A45</f>
        <v>16</v>
      </c>
      <c r="C6" s="33">
        <f>VLOOKUP('Замовлення товарів'!$A$17,'Замовлення товарів'!$A$2:$D$17,3,0)</f>
        <v>39855</v>
      </c>
      <c r="D6" s="33">
        <f>VLOOKUP('Замовлення товарів'!$A$17,'Замовлення товарів'!$A$2:$D$17,4,0)</f>
        <v>39872</v>
      </c>
      <c r="E6" s="4">
        <f>'Вміст замовлення'!C45</f>
        <v>160</v>
      </c>
      <c r="F6" s="39">
        <f>IF(E6&gt;=200,VLOOKUP('Вміст замовлення'!B45,'Довідник товарів'!$A$2:$E$12,5,0),VLOOKUP('Вміст замовлення'!B45,'Довідник товарів'!$A$2:$E$12,4,0))</f>
        <v>6.4</v>
      </c>
      <c r="G6" s="34">
        <f>F6*E6</f>
        <v>1024</v>
      </c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35"/>
      <c r="U6" s="18"/>
      <c r="V6" s="18"/>
      <c r="W6" s="18"/>
    </row>
    <row r="7" spans="1:23" ht="12.75" outlineLevel="1" collapsed="1">
      <c r="A7" s="48" t="s">
        <v>61</v>
      </c>
      <c r="B7" s="4"/>
      <c r="C7" s="33"/>
      <c r="D7" s="33"/>
      <c r="E7" s="4">
        <f>SUBTOTAL(9,E3:E6)</f>
        <v>740</v>
      </c>
      <c r="F7" s="39"/>
      <c r="G7" s="34">
        <f>SUBTOTAL(9,G3:G6)</f>
        <v>4688</v>
      </c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35"/>
      <c r="U7" s="18"/>
      <c r="V7" s="18"/>
      <c r="W7" s="18"/>
    </row>
    <row r="8" spans="1:23" ht="12.75" hidden="1" outlineLevel="2">
      <c r="A8" s="4" t="str">
        <f>LOOKUP('Вміст замовлення'!B12,'Довідник товарів'!$A$2:$A$12,'Довідник товарів'!$B$2:$B$12)</f>
        <v>Декоративні шпалери</v>
      </c>
      <c r="B8" s="4">
        <f>'Вміст замовлення'!A12</f>
        <v>4</v>
      </c>
      <c r="C8" s="33">
        <f>VLOOKUP('Замовлення товарів'!$A$5,'Замовлення товарів'!$A$2:$D$17,3,0)</f>
        <v>39778</v>
      </c>
      <c r="D8" s="33">
        <f>VLOOKUP('Замовлення товарів'!$A$5,'Замовлення товарів'!$A$2:$D$17,4,0)</f>
        <v>39791</v>
      </c>
      <c r="E8" s="4">
        <f>'Вміст замовлення'!C12</f>
        <v>600</v>
      </c>
      <c r="F8" s="39">
        <f>IF(E8&gt;=200,VLOOKUP('Вміст замовлення'!B12,'Довідник товарів'!$A$2:$E$12,5,0),VLOOKUP('Вміст замовлення'!B12,'Довідник товарів'!$A$2:$E$12,4,0))</f>
        <v>8.25</v>
      </c>
      <c r="G8" s="34">
        <f>F8*E8</f>
        <v>4950</v>
      </c>
      <c r="I8" s="18"/>
      <c r="J8" s="20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</row>
    <row r="9" spans="1:23" ht="12.75" hidden="1" outlineLevel="2">
      <c r="A9" s="4" t="str">
        <f>LOOKUP('Вміст замовлення'!B27,'Довідник товарів'!$A$2:$A$12,'Довідник товарів'!$B$2:$B$12)</f>
        <v>Декоративні шпалери</v>
      </c>
      <c r="B9" s="4">
        <f>'Вміст замовлення'!A27</f>
        <v>9</v>
      </c>
      <c r="C9" s="33">
        <f>VLOOKUP('Замовлення товарів'!$A$10,'Замовлення товарів'!$A$2:$D$17,3,0)</f>
        <v>39807</v>
      </c>
      <c r="D9" s="33">
        <f>VLOOKUP('Замовлення товарів'!$A$10,'Замовлення товарів'!$A$2:$D$17,4,0)</f>
        <v>39818</v>
      </c>
      <c r="E9" s="4">
        <f>'Вміст замовлення'!C27</f>
        <v>360</v>
      </c>
      <c r="F9" s="39">
        <f>IF(E9&gt;=200,VLOOKUP('Вміст замовлення'!B27,'Довідник товарів'!$A$2:$E$12,5,0),VLOOKUP('Вміст замовлення'!B27,'Довідник товарів'!$A$2:$E$12,4,0))</f>
        <v>8.25</v>
      </c>
      <c r="G9" s="34">
        <f>F9*E9</f>
        <v>2970</v>
      </c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</row>
    <row r="10" spans="1:23" ht="12.75" hidden="1" outlineLevel="2">
      <c r="A10" s="4" t="str">
        <f>LOOKUP('Вміст замовлення'!B36,'Довідник товарів'!$A$2:$A$12,'Довідник товарів'!$B$2:$B$12)</f>
        <v>Декоративні шпалери</v>
      </c>
      <c r="B10" s="4">
        <f>'Вміст замовлення'!A36</f>
        <v>13</v>
      </c>
      <c r="C10" s="33">
        <f>VLOOKUP('Замовлення товарів'!$A$14,'Замовлення товарів'!$A$2:$D$17,3,0)</f>
        <v>39834</v>
      </c>
      <c r="D10" s="33">
        <f>VLOOKUP('Замовлення товарів'!$A$14,'Замовлення товарів'!$A$2:$D$17,4,0)</f>
        <v>39851</v>
      </c>
      <c r="E10" s="4">
        <f>'Вміст замовлення'!C36</f>
        <v>50</v>
      </c>
      <c r="F10" s="39">
        <f>IF(E10&gt;=200,VLOOKUP('Вміст замовлення'!B36,'Довідник товарів'!$A$2:$E$12,5,0),VLOOKUP('Вміст замовлення'!B36,'Довідник товарів'!$A$2:$E$12,4,0))</f>
        <v>8.35</v>
      </c>
      <c r="G10" s="34">
        <f>F10*E10</f>
        <v>417.5</v>
      </c>
      <c r="I10" s="18"/>
      <c r="J10" s="20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</row>
    <row r="11" spans="1:23" ht="12.75" outlineLevel="1" collapsed="1">
      <c r="A11" s="49" t="s">
        <v>62</v>
      </c>
      <c r="B11" s="4"/>
      <c r="C11" s="33"/>
      <c r="D11" s="33"/>
      <c r="E11" s="4">
        <f>SUBTOTAL(9,E8:E10)</f>
        <v>1010</v>
      </c>
      <c r="F11" s="39"/>
      <c r="G11" s="34">
        <f>SUBTOTAL(9,G8:G10)</f>
        <v>8337.5</v>
      </c>
      <c r="I11" s="18"/>
      <c r="J11" s="20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</row>
    <row r="12" spans="1:23" ht="12.75" hidden="1" outlineLevel="2">
      <c r="A12" s="4" t="str">
        <f>LOOKUP('Вміст замовлення'!B4,'Довідник товарів'!$A$2:$A$12,'Довідник товарів'!$B$2:$B$12)</f>
        <v>Лінолеум</v>
      </c>
      <c r="B12" s="4">
        <f>'Вміст замовлення'!A4</f>
        <v>1</v>
      </c>
      <c r="C12" s="33">
        <f>VLOOKUP('Замовлення товарів'!$A$2,'Замовлення товарів'!$A$2:$D$17,3,0)</f>
        <v>39754</v>
      </c>
      <c r="D12" s="33">
        <f>VLOOKUP('Замовлення товарів'!$A$2,'Замовлення товарів'!$A$2:$D$17,4,0)</f>
        <v>39757</v>
      </c>
      <c r="E12" s="4">
        <f>'Вміст замовлення'!C4</f>
        <v>800</v>
      </c>
      <c r="F12" s="39">
        <f>IF(E12&gt;=200,VLOOKUP('Вміст замовлення'!B4,'Довідник товарів'!$A$2:$E$12,5,0),VLOOKUP('Вміст замовлення'!B4,'Довідник товарів'!$A$2:$E$12,4,0))</f>
        <v>5.3</v>
      </c>
      <c r="G12" s="34">
        <f aca="true" t="shared" si="0" ref="G12:G21">F12*E12</f>
        <v>4240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</row>
    <row r="13" spans="1:23" ht="12.75" hidden="1" outlineLevel="2">
      <c r="A13" s="4" t="str">
        <f>LOOKUP('Вміст замовлення'!B8,'Довідник товарів'!$A$2:$A$12,'Довідник товарів'!$B$2:$B$12)</f>
        <v>Лінолеум</v>
      </c>
      <c r="B13" s="4">
        <f>'Вміст замовлення'!A8</f>
        <v>3</v>
      </c>
      <c r="C13" s="33">
        <f>VLOOKUP('Замовлення товарів'!$A$4,'Замовлення товарів'!$A$2:$D$17,3,0)</f>
        <v>39769</v>
      </c>
      <c r="D13" s="33" t="str">
        <f>VLOOKUP('Замовлення товарів'!$A$4,'Замовлення товарів'!$A$2:$D$17,4,0)</f>
        <v>не оплачено</v>
      </c>
      <c r="E13" s="4">
        <f>'Вміст замовлення'!C8</f>
        <v>45</v>
      </c>
      <c r="F13" s="39">
        <f>IF(E13&gt;=200,VLOOKUP('Вміст замовлення'!B8,'Довідник товарів'!$A$2:$E$12,5,0),VLOOKUP('Вміст замовлення'!B8,'Довідник товарів'!$A$2:$E$12,4,0))</f>
        <v>3</v>
      </c>
      <c r="G13" s="34">
        <f t="shared" si="0"/>
        <v>135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</row>
    <row r="14" spans="1:23" ht="12.75" hidden="1" outlineLevel="2">
      <c r="A14" s="4" t="str">
        <f>LOOKUP('Вміст замовлення'!B15,'Довідник товарів'!$A$2:$A$12,'Довідник товарів'!$B$2:$B$12)</f>
        <v>Лінолеум</v>
      </c>
      <c r="B14" s="4">
        <f>'Вміст замовлення'!A15</f>
        <v>5</v>
      </c>
      <c r="C14" s="33">
        <f>VLOOKUP('Замовлення товарів'!$A$6,'Замовлення товарів'!$A$2:$D$17,3,0)</f>
        <v>39781</v>
      </c>
      <c r="D14" s="33" t="str">
        <f>VLOOKUP('Замовлення товарів'!$A$6,'Замовлення товарів'!$A$2:$D$17,4,0)</f>
        <v>не оплачено</v>
      </c>
      <c r="E14" s="4">
        <f>'Вміст замовлення'!C15</f>
        <v>50</v>
      </c>
      <c r="F14" s="39">
        <f>IF(E14&gt;=200,VLOOKUP('Вміст замовлення'!B15,'Довідник товарів'!$A$2:$E$12,5,0),VLOOKUP('Вміст замовлення'!B15,'Довідник товарів'!$A$2:$E$12,4,0))</f>
        <v>3</v>
      </c>
      <c r="G14" s="34">
        <f t="shared" si="0"/>
        <v>150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</row>
    <row r="15" spans="1:23" ht="12.75" hidden="1" outlineLevel="2">
      <c r="A15" s="4" t="str">
        <f>LOOKUP('Вміст замовлення'!B17,'Довідник товарів'!$A$2:$A$12,'Довідник товарів'!$B$2:$B$12)</f>
        <v>Лінолеум</v>
      </c>
      <c r="B15" s="4">
        <f>'Вміст замовлення'!A17</f>
        <v>6</v>
      </c>
      <c r="C15" s="33">
        <f>VLOOKUP('Замовлення товарів'!$A$7,'Замовлення товарів'!$A$2:$D$17,3,0)</f>
        <v>39784</v>
      </c>
      <c r="D15" s="33">
        <f>VLOOKUP('Замовлення товарів'!$A$7,'Замовлення товарів'!$A$2:$D$17,4,0)</f>
        <v>39799</v>
      </c>
      <c r="E15" s="4">
        <f>'Вміст замовлення'!C17</f>
        <v>180</v>
      </c>
      <c r="F15" s="39">
        <f>IF(E15&gt;=200,VLOOKUP('Вміст замовлення'!B17,'Довідник товарів'!$A$2:$E$12,5,0),VLOOKUP('Вміст замовлення'!B17,'Довідник товарів'!$A$2:$E$12,4,0))</f>
        <v>3</v>
      </c>
      <c r="G15" s="34">
        <f t="shared" si="0"/>
        <v>540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</row>
    <row r="16" spans="1:23" ht="12.75" hidden="1" outlineLevel="2">
      <c r="A16" s="4" t="str">
        <f>LOOKUP('Вміст замовлення'!B20,'Довідник товарів'!$A$2:$A$12,'Довідник товарів'!$B$2:$B$12)</f>
        <v>Лінолеум</v>
      </c>
      <c r="B16" s="4">
        <f>'Вміст замовлення'!A20</f>
        <v>6</v>
      </c>
      <c r="C16" s="33">
        <f>VLOOKUP('Замовлення товарів'!$A$7,'Замовлення товарів'!$A$2:$D$17,3,0)</f>
        <v>39784</v>
      </c>
      <c r="D16" s="33">
        <f>VLOOKUP('Замовлення товарів'!$A$7,'Замовлення товарів'!$A$2:$D$17,4,0)</f>
        <v>39799</v>
      </c>
      <c r="E16" s="4">
        <f>'Вміст замовлення'!C20</f>
        <v>300</v>
      </c>
      <c r="F16" s="39">
        <f>IF(E16&gt;=200,VLOOKUP('Вміст замовлення'!B20,'Довідник товарів'!$A$2:$E$12,5,0),VLOOKUP('Вміст замовлення'!B20,'Довідник товарів'!$A$2:$E$12,4,0))</f>
        <v>5.3</v>
      </c>
      <c r="G16" s="34">
        <f t="shared" si="0"/>
        <v>1590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</row>
    <row r="17" spans="1:23" ht="12.75" hidden="1" outlineLevel="2">
      <c r="A17" s="4" t="str">
        <f>LOOKUP('Вміст замовлення'!B24,'Довідник товарів'!$A$2:$A$12,'Довідник товарів'!$B$2:$B$12)</f>
        <v>Лінолеум</v>
      </c>
      <c r="B17" s="4">
        <f>'Вміст замовлення'!A24</f>
        <v>8</v>
      </c>
      <c r="C17" s="33">
        <f>VLOOKUP('Замовлення товарів'!$A$9,'Замовлення товарів'!$A$2:$D$17,3,0)</f>
        <v>39796</v>
      </c>
      <c r="D17" s="33" t="str">
        <f>VLOOKUP('Замовлення товарів'!$A$9,'Замовлення товарів'!$A$2:$D$17,4,0)</f>
        <v>не оплачено</v>
      </c>
      <c r="E17" s="4">
        <f>'Вміст замовлення'!C24</f>
        <v>50</v>
      </c>
      <c r="F17" s="39">
        <f>IF(E17&gt;=200,VLOOKUP('Вміст замовлення'!B24,'Довідник товарів'!$A$2:$E$12,5,0),VLOOKUP('Вміст замовлення'!B24,'Довідник товарів'!$A$2:$E$12,4,0))</f>
        <v>3</v>
      </c>
      <c r="G17" s="34">
        <f t="shared" si="0"/>
        <v>150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</row>
    <row r="18" spans="1:23" ht="12.75" hidden="1" outlineLevel="2">
      <c r="A18" s="4" t="str">
        <f>LOOKUP('Вміст замовлення'!B30,'Довідник товарів'!$A$2:$A$12,'Довідник товарів'!$B$2:$B$12)</f>
        <v>Лінолеум</v>
      </c>
      <c r="B18" s="4">
        <f>'Вміст замовлення'!A30</f>
        <v>10</v>
      </c>
      <c r="C18" s="33">
        <f>VLOOKUP('Замовлення товарів'!$A$11,'Замовлення товарів'!$A$2:$D$17,3,0)</f>
        <v>39812</v>
      </c>
      <c r="D18" s="33" t="str">
        <f>VLOOKUP('Замовлення товарів'!$A$11,'Замовлення товарів'!$A$2:$D$17,4,0)</f>
        <v>не оплачено</v>
      </c>
      <c r="E18" s="4">
        <f>'Вміст замовлення'!C30</f>
        <v>210</v>
      </c>
      <c r="F18" s="39">
        <f>IF(E18&gt;=200,VLOOKUP('Вміст замовлення'!B30,'Довідник товарів'!$A$2:$E$12,5,0),VLOOKUP('Вміст замовлення'!B30,'Довідник товарів'!$A$2:$E$12,4,0))</f>
        <v>2.8</v>
      </c>
      <c r="G18" s="34">
        <f t="shared" si="0"/>
        <v>588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</row>
    <row r="19" spans="1:23" ht="12.75" hidden="1" outlineLevel="2">
      <c r="A19" s="4" t="str">
        <f>LOOKUP('Вміст замовлення'!B32,'Довідник товарів'!$A$2:$A$12,'Довідник товарів'!$B$2:$B$12)</f>
        <v>Лінолеум</v>
      </c>
      <c r="B19" s="4">
        <f>'Вміст замовлення'!A32</f>
        <v>11</v>
      </c>
      <c r="C19" s="33">
        <f>VLOOKUP('Замовлення товарів'!$A$12,'Замовлення товарів'!$A$2:$D$17,3,0)</f>
        <v>39819</v>
      </c>
      <c r="D19" s="33" t="str">
        <f>VLOOKUP('Замовлення товарів'!$A$12,'Замовлення товарів'!$A$2:$D$17,4,0)</f>
        <v>не оплачено</v>
      </c>
      <c r="E19" s="4">
        <f>'Вміст замовлення'!C32</f>
        <v>100</v>
      </c>
      <c r="F19" s="39">
        <f>IF(E19&gt;=200,VLOOKUP('Вміст замовлення'!B32,'Довідник товарів'!$A$2:$E$12,5,0),VLOOKUP('Вміст замовлення'!B32,'Довідник товарів'!$A$2:$E$12,4,0))</f>
        <v>3</v>
      </c>
      <c r="G19" s="34">
        <f t="shared" si="0"/>
        <v>300</v>
      </c>
      <c r="I19" s="18"/>
      <c r="J19" s="24"/>
      <c r="K19" s="25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</row>
    <row r="20" spans="1:23" ht="12.75" hidden="1" outlineLevel="2">
      <c r="A20" s="4" t="str">
        <f>LOOKUP('Вміст замовлення'!B39,'Довідник товарів'!$A$2:$A$12,'Довідник товарів'!$B$2:$B$12)</f>
        <v>Лінолеум</v>
      </c>
      <c r="B20" s="4">
        <f>'Вміст замовлення'!A39</f>
        <v>14</v>
      </c>
      <c r="C20" s="33">
        <f>VLOOKUP('Замовлення товарів'!$A$15,'Замовлення товарів'!$A$2:$D$17,3,0)</f>
        <v>39844</v>
      </c>
      <c r="D20" s="33">
        <f>VLOOKUP('Замовлення товарів'!$A$15,'Замовлення товарів'!$A$2:$D$17,4,0)</f>
        <v>39856</v>
      </c>
      <c r="E20" s="4">
        <f>'Вміст замовлення'!C39</f>
        <v>190</v>
      </c>
      <c r="F20" s="39">
        <f>IF(E20&gt;=200,VLOOKUP('Вміст замовлення'!B39,'Довідник товарів'!$A$2:$E$12,5,0),VLOOKUP('Вміст замовлення'!B39,'Довідник товарів'!$A$2:$E$12,4,0))</f>
        <v>3</v>
      </c>
      <c r="G20" s="34">
        <f t="shared" si="0"/>
        <v>570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</row>
    <row r="21" spans="1:23" ht="12.75" hidden="1" outlineLevel="2">
      <c r="A21" s="4" t="str">
        <f>LOOKUP('Вміст замовлення'!B42,'Довідник товарів'!$A$2:$A$12,'Довідник товарів'!$B$2:$B$12)</f>
        <v>Лінолеум</v>
      </c>
      <c r="B21" s="4">
        <f>'Вміст замовлення'!A42</f>
        <v>15</v>
      </c>
      <c r="C21" s="33">
        <f>VLOOKUP('Замовлення товарів'!$A$16,'Замовлення товарів'!$A$2:$D$17,3,0)</f>
        <v>39849</v>
      </c>
      <c r="D21" s="33" t="str">
        <f>VLOOKUP('Замовлення товарів'!$A$16,'Замовлення товарів'!$A$2:$D$17,4,0)</f>
        <v>не оплачено</v>
      </c>
      <c r="E21" s="4">
        <f>'Вміст замовлення'!C42</f>
        <v>90</v>
      </c>
      <c r="F21" s="39">
        <f>IF(E21&gt;=200,VLOOKUP('Вміст замовлення'!B42,'Довідник товарів'!$A$2:$E$12,5,0),VLOOKUP('Вміст замовлення'!B42,'Довідник товарів'!$A$2:$E$12,4,0))</f>
        <v>3</v>
      </c>
      <c r="G21" s="34">
        <f t="shared" si="0"/>
        <v>270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1:23" ht="12.75" outlineLevel="1" collapsed="1">
      <c r="A22" s="49" t="s">
        <v>63</v>
      </c>
      <c r="B22" s="4"/>
      <c r="C22" s="33"/>
      <c r="D22" s="33"/>
      <c r="E22" s="4">
        <f>SUBTOTAL(9,E12:E21)</f>
        <v>2015</v>
      </c>
      <c r="F22" s="39"/>
      <c r="G22" s="34">
        <f>SUBTOTAL(9,G12:G21)</f>
        <v>8533</v>
      </c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</row>
    <row r="23" spans="1:23" ht="12.75" hidden="1" outlineLevel="2">
      <c r="A23" s="4" t="str">
        <f>LOOKUP('Вміст замовлення'!B2,'Довідник товарів'!$A$2:$A$12,'Довідник товарів'!$B$2:$B$12)</f>
        <v>Панелі </v>
      </c>
      <c r="B23" s="4">
        <f>'Вміст замовлення'!A2</f>
        <v>1</v>
      </c>
      <c r="C23" s="33">
        <f>VLOOKUP('Замовлення товарів'!$A$2,'Замовлення товарів'!$A$2:$D$17,3,0)</f>
        <v>39754</v>
      </c>
      <c r="D23" s="33">
        <f>VLOOKUP('Замовлення товарів'!$A$2,'Замовлення товарів'!$A$2:$D$17,4,0)</f>
        <v>39757</v>
      </c>
      <c r="E23" s="4">
        <f>'Вміст замовлення'!C2</f>
        <v>400</v>
      </c>
      <c r="F23" s="39">
        <f>IF(E23&gt;=200,VLOOKUP('Вміст замовлення'!B2,'Довідник товарів'!$A$2:$E$12,5,0),VLOOKUP('Вміст замовлення'!B2,'Довідник товарів'!$A$2:$E$12,4,0))</f>
        <v>5.6</v>
      </c>
      <c r="G23" s="34">
        <f aca="true" t="shared" si="1" ref="G23:G28">F23*E23</f>
        <v>2240</v>
      </c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</row>
    <row r="24" spans="1:23" ht="12.75" hidden="1" outlineLevel="2">
      <c r="A24" s="4" t="str">
        <f>LOOKUP('Вміст замовлення'!B5,'Довідник товарів'!$A$2:$A$12,'Довідник товарів'!$B$2:$B$12)</f>
        <v>Панелі </v>
      </c>
      <c r="B24" s="4">
        <f>'Вміст замовлення'!A5</f>
        <v>2</v>
      </c>
      <c r="C24" s="33">
        <f>VLOOKUP('Замовлення товарів'!$A$3,'Замовлення товарів'!$A$2:$D$17,3,0)</f>
        <v>39763</v>
      </c>
      <c r="D24" s="33">
        <f>VLOOKUP('Замовлення товарів'!$A$3,'Замовлення товарів'!$A$2:$D$17,4,0)</f>
        <v>39770</v>
      </c>
      <c r="E24" s="4">
        <f>'Вміст замовлення'!C5</f>
        <v>90</v>
      </c>
      <c r="F24" s="39">
        <f>IF(E24&gt;=200,VLOOKUP('Вміст замовлення'!B5,'Довідник товарів'!$A$2:$E$12,5,0),VLOOKUP('Вміст замовлення'!B5,'Довідник товарів'!$A$2:$E$12,4,0))</f>
        <v>5.45</v>
      </c>
      <c r="G24" s="34">
        <f t="shared" si="1"/>
        <v>490.5</v>
      </c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</row>
    <row r="25" spans="1:23" ht="12.75" hidden="1" outlineLevel="2">
      <c r="A25" s="4" t="str">
        <f>LOOKUP('Вміст замовлення'!B18,'Довідник товарів'!$A$2:$A$12,'Довідник товарів'!$B$2:$B$12)</f>
        <v>Панелі </v>
      </c>
      <c r="B25" s="4">
        <f>'Вміст замовлення'!A18</f>
        <v>6</v>
      </c>
      <c r="C25" s="33">
        <f>VLOOKUP('Замовлення товарів'!$A$7,'Замовлення товарів'!$A$2:$D$17,3,0)</f>
        <v>39784</v>
      </c>
      <c r="D25" s="33">
        <f>VLOOKUP('Замовлення товарів'!$A$7,'Замовлення товарів'!$A$2:$D$17,4,0)</f>
        <v>39799</v>
      </c>
      <c r="E25" s="4">
        <f>'Вміст замовлення'!C18</f>
        <v>200</v>
      </c>
      <c r="F25" s="39">
        <f>IF(E25&gt;=200,VLOOKUP('Вміст замовлення'!B18,'Довідник товарів'!$A$2:$E$12,5,0),VLOOKUP('Вміст замовлення'!B18,'Довідник товарів'!$A$2:$E$12,4,0))</f>
        <v>5.6</v>
      </c>
      <c r="G25" s="34">
        <f t="shared" si="1"/>
        <v>1120</v>
      </c>
      <c r="I25" s="18"/>
      <c r="J25" s="26"/>
      <c r="K25" s="18"/>
      <c r="L25" s="18"/>
      <c r="M25" s="27"/>
      <c r="N25" s="18"/>
      <c r="O25" s="18"/>
      <c r="P25" s="26"/>
      <c r="Q25" s="20"/>
      <c r="R25" s="18"/>
      <c r="S25" s="18"/>
      <c r="T25" s="18"/>
      <c r="U25" s="18"/>
      <c r="V25" s="18"/>
      <c r="W25" s="18"/>
    </row>
    <row r="26" spans="1:23" ht="12.75" hidden="1" outlineLevel="2">
      <c r="A26" s="4" t="str">
        <f>LOOKUP('Вміст замовлення'!B21,'Довідник товарів'!$A$2:$A$12,'Довідник товарів'!$B$2:$B$12)</f>
        <v>Панелі </v>
      </c>
      <c r="B26" s="4">
        <f>'Вміст замовлення'!A21</f>
        <v>7</v>
      </c>
      <c r="C26" s="33">
        <f>VLOOKUP('Замовлення товарів'!$A$8,'Замовлення товарів'!$A$2:$D$17,3,0)</f>
        <v>39793</v>
      </c>
      <c r="D26" s="33">
        <f>VLOOKUP('Замовлення товарів'!$A$8,'Замовлення товарів'!$A$2:$D$17,4,0)</f>
        <v>39812</v>
      </c>
      <c r="E26" s="4">
        <f>'Вміст замовлення'!C21</f>
        <v>350</v>
      </c>
      <c r="F26" s="39">
        <f>IF(E26&gt;=200,VLOOKUP('Вміст замовлення'!B21,'Довідник товарів'!$A$2:$E$12,5,0),VLOOKUP('Вміст замовлення'!B21,'Довідник товарів'!$A$2:$E$12,4,0))</f>
        <v>5.35</v>
      </c>
      <c r="G26" s="34">
        <f t="shared" si="1"/>
        <v>1872.4999999999998</v>
      </c>
      <c r="I26" s="18"/>
      <c r="J26" s="18"/>
      <c r="K26" s="18"/>
      <c r="L26" s="18"/>
      <c r="M26" s="28"/>
      <c r="N26" s="18"/>
      <c r="O26" s="18"/>
      <c r="P26" s="18"/>
      <c r="Q26" s="18"/>
      <c r="R26" s="18"/>
      <c r="S26" s="18"/>
      <c r="T26" s="18"/>
      <c r="U26" s="18"/>
      <c r="V26" s="18"/>
      <c r="W26" s="18"/>
    </row>
    <row r="27" spans="1:23" ht="12.75" hidden="1" outlineLevel="2">
      <c r="A27" s="4" t="str">
        <f>LOOKUP('Вміст замовлення'!B33,'Довідник товарів'!$A$2:$A$12,'Довідник товарів'!$B$2:$B$12)</f>
        <v>Панелі </v>
      </c>
      <c r="B27" s="4">
        <f>'Вміст замовлення'!A33</f>
        <v>11</v>
      </c>
      <c r="C27" s="33">
        <f>VLOOKUP('Замовлення товарів'!$A$12,'Замовлення товарів'!$A$2:$D$17,3,0)</f>
        <v>39819</v>
      </c>
      <c r="D27" s="33" t="str">
        <f>VLOOKUP('Замовлення товарів'!$A$12,'Замовлення товарів'!$A$2:$D$17,4,0)</f>
        <v>не оплачено</v>
      </c>
      <c r="E27" s="4">
        <f>'Вміст замовлення'!C33</f>
        <v>50</v>
      </c>
      <c r="F27" s="39">
        <f>IF(E27&gt;=200,VLOOKUP('Вміст замовлення'!B33,'Довідник товарів'!$A$2:$E$12,5,0),VLOOKUP('Вміст замовлення'!B33,'Довідник товарів'!$A$2:$E$12,4,0))</f>
        <v>5.9</v>
      </c>
      <c r="G27" s="34">
        <f t="shared" si="1"/>
        <v>295</v>
      </c>
      <c r="I27" s="18"/>
      <c r="J27" s="18"/>
      <c r="K27" s="18"/>
      <c r="L27" s="18"/>
      <c r="M27" s="28"/>
      <c r="N27" s="18"/>
      <c r="O27" s="18"/>
      <c r="P27" s="27"/>
      <c r="Q27" s="29"/>
      <c r="R27" s="18"/>
      <c r="S27" s="18"/>
      <c r="T27" s="18"/>
      <c r="U27" s="18"/>
      <c r="V27" s="18"/>
      <c r="W27" s="18"/>
    </row>
    <row r="28" spans="1:23" ht="12.75" hidden="1" outlineLevel="2">
      <c r="A28" s="4" t="str">
        <f>LOOKUP('Вміст замовлення'!B40,'Довідник товарів'!$A$2:$A$12,'Довідник товарів'!$B$2:$B$12)</f>
        <v>Панелі </v>
      </c>
      <c r="B28" s="4">
        <f>'Вміст замовлення'!A40</f>
        <v>14</v>
      </c>
      <c r="C28" s="33">
        <f>VLOOKUP('Замовлення товарів'!$A$15,'Замовлення товарів'!$A$2:$D$17,3,0)</f>
        <v>39844</v>
      </c>
      <c r="D28" s="33">
        <f>VLOOKUP('Замовлення товарів'!$A$15,'Замовлення товарів'!$A$2:$D$17,4,0)</f>
        <v>39856</v>
      </c>
      <c r="E28" s="4">
        <f>'Вміст замовлення'!C40</f>
        <v>200</v>
      </c>
      <c r="F28" s="39">
        <f>IF(E28&gt;=200,VLOOKUP('Вміст замовлення'!B40,'Довідник товарів'!$A$2:$E$12,5,0),VLOOKUP('Вміст замовлення'!B40,'Довідник товарів'!$A$2:$E$12,4,0))</f>
        <v>5.6</v>
      </c>
      <c r="G28" s="34">
        <f t="shared" si="1"/>
        <v>1120</v>
      </c>
      <c r="I28" s="18"/>
      <c r="J28" s="18"/>
      <c r="K28" s="18"/>
      <c r="L28" s="18"/>
      <c r="M28" s="28"/>
      <c r="N28" s="18"/>
      <c r="O28" s="18"/>
      <c r="P28" s="18"/>
      <c r="Q28" s="18"/>
      <c r="R28" s="18"/>
      <c r="S28" s="18"/>
      <c r="T28" s="18"/>
      <c r="U28" s="18"/>
      <c r="V28" s="18"/>
      <c r="W28" s="18"/>
    </row>
    <row r="29" spans="1:23" ht="12.75" outlineLevel="1" collapsed="1">
      <c r="A29" s="49" t="s">
        <v>64</v>
      </c>
      <c r="B29" s="4"/>
      <c r="C29" s="33"/>
      <c r="D29" s="33"/>
      <c r="E29" s="4">
        <f>SUBTOTAL(9,E23:E28)</f>
        <v>1290</v>
      </c>
      <c r="F29" s="39"/>
      <c r="G29" s="34">
        <f>SUBTOTAL(9,G23:G28)</f>
        <v>7138</v>
      </c>
      <c r="I29" s="18"/>
      <c r="J29" s="18"/>
      <c r="K29" s="18"/>
      <c r="L29" s="18"/>
      <c r="M29" s="28"/>
      <c r="N29" s="18"/>
      <c r="O29" s="18"/>
      <c r="P29" s="18"/>
      <c r="Q29" s="18"/>
      <c r="R29" s="18"/>
      <c r="S29" s="18"/>
      <c r="T29" s="18"/>
      <c r="U29" s="18"/>
      <c r="V29" s="18"/>
      <c r="W29" s="18"/>
    </row>
    <row r="30" spans="1:23" ht="12.75" hidden="1" outlineLevel="2">
      <c r="A30" s="4" t="str">
        <f>LOOKUP('Вміст замовлення'!B10,'Довідник товарів'!$A$2:$A$12,'Довідник товарів'!$B$2:$B$12)</f>
        <v>Паркет</v>
      </c>
      <c r="B30" s="4">
        <f>'Вміст замовлення'!A10</f>
        <v>3</v>
      </c>
      <c r="C30" s="33">
        <f>VLOOKUP('Замовлення товарів'!$A$4,'Замовлення товарів'!$A$2:$D$17,3,0)</f>
        <v>39769</v>
      </c>
      <c r="D30" s="33" t="str">
        <f>VLOOKUP('Замовлення товарів'!$A$4,'Замовлення товарів'!$A$2:$D$17,4,0)</f>
        <v>не оплачено</v>
      </c>
      <c r="E30" s="4">
        <f>'Вміст замовлення'!C10</f>
        <v>300</v>
      </c>
      <c r="F30" s="39">
        <f>IF(E30&gt;=200,VLOOKUP('Вміст замовлення'!B10,'Довідник товарів'!$A$2:$E$12,5,0),VLOOKUP('Вміст замовлення'!B10,'Довідник товарів'!$A$2:$E$12,4,0))</f>
        <v>16.5</v>
      </c>
      <c r="G30" s="34">
        <f>F30*E30</f>
        <v>4950</v>
      </c>
      <c r="I30" s="18"/>
      <c r="J30" s="18"/>
      <c r="K30" s="18"/>
      <c r="L30" s="18"/>
      <c r="M30" s="28"/>
      <c r="N30" s="18"/>
      <c r="O30" s="18"/>
      <c r="P30" s="18"/>
      <c r="Q30" s="18"/>
      <c r="R30" s="18"/>
      <c r="S30" s="18"/>
      <c r="T30" s="18"/>
      <c r="U30" s="18"/>
      <c r="V30" s="18"/>
      <c r="W30" s="18"/>
    </row>
    <row r="31" spans="1:23" ht="12.75" hidden="1" outlineLevel="2">
      <c r="A31" s="4" t="str">
        <f>LOOKUP('Вміст замовлення'!B16,'Довідник товарів'!$A$2:$A$12,'Довідник товарів'!$B$2:$B$12)</f>
        <v>Паркет</v>
      </c>
      <c r="B31" s="4">
        <f>'Вміст замовлення'!A16</f>
        <v>5</v>
      </c>
      <c r="C31" s="33">
        <f>VLOOKUP('Замовлення товарів'!$A$6,'Замовлення товарів'!$A$2:$D$17,3,0)</f>
        <v>39781</v>
      </c>
      <c r="D31" s="33" t="str">
        <f>VLOOKUP('Замовлення товарів'!$A$6,'Замовлення товарів'!$A$2:$D$17,4,0)</f>
        <v>не оплачено</v>
      </c>
      <c r="E31" s="4">
        <f>'Вміст замовлення'!C16</f>
        <v>250</v>
      </c>
      <c r="F31" s="39">
        <f>IF(E31&gt;=200,VLOOKUP('Вміст замовлення'!B16,'Довідник товарів'!$A$2:$E$12,5,0),VLOOKUP('Вміст замовлення'!B16,'Довідник товарів'!$A$2:$E$12,4,0))</f>
        <v>16.5</v>
      </c>
      <c r="G31" s="34">
        <f>F31*E31</f>
        <v>4125</v>
      </c>
      <c r="I31" s="18"/>
      <c r="J31" s="18"/>
      <c r="K31" s="18"/>
      <c r="L31" s="18"/>
      <c r="M31" s="28"/>
      <c r="N31" s="18"/>
      <c r="O31" s="18"/>
      <c r="P31" s="18"/>
      <c r="Q31" s="18"/>
      <c r="R31" s="18"/>
      <c r="S31" s="18"/>
      <c r="T31" s="18"/>
      <c r="U31" s="18"/>
      <c r="V31" s="18"/>
      <c r="W31" s="18"/>
    </row>
    <row r="32" spans="1:23" ht="12.75" hidden="1" outlineLevel="2">
      <c r="A32" s="4" t="str">
        <f>LOOKUP('Вміст замовлення'!B25,'Довідник товарів'!$A$2:$A$12,'Довідник товарів'!$B$2:$B$12)</f>
        <v>Паркет</v>
      </c>
      <c r="B32" s="4">
        <f>'Вміст замовлення'!A25</f>
        <v>9</v>
      </c>
      <c r="C32" s="33">
        <f>VLOOKUP('Замовлення товарів'!$A$10,'Замовлення товарів'!$A$2:$D$17,3,0)</f>
        <v>39807</v>
      </c>
      <c r="D32" s="33">
        <f>VLOOKUP('Замовлення товарів'!$A$10,'Замовлення товарів'!$A$2:$D$17,4,0)</f>
        <v>39818</v>
      </c>
      <c r="E32" s="4">
        <f>'Вміст замовлення'!C25</f>
        <v>130</v>
      </c>
      <c r="F32" s="39">
        <f>IF(E32&gt;=200,VLOOKUP('Вміст замовлення'!B25,'Довідник товарів'!$A$2:$E$12,5,0),VLOOKUP('Вміст замовлення'!B25,'Довідник товарів'!$A$2:$E$12,4,0))</f>
        <v>16.6</v>
      </c>
      <c r="G32" s="34">
        <f>F32*E32</f>
        <v>2158</v>
      </c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</row>
    <row r="33" spans="1:23" ht="12.75" hidden="1" outlineLevel="2">
      <c r="A33" s="4" t="str">
        <f>LOOKUP('Вміст замовлення'!B31,'Довідник товарів'!$A$2:$A$12,'Довідник товарів'!$B$2:$B$12)</f>
        <v>Паркет</v>
      </c>
      <c r="B33" s="4">
        <f>'Вміст замовлення'!A31</f>
        <v>10</v>
      </c>
      <c r="C33" s="33">
        <f>VLOOKUP('Замовлення товарів'!$A$11,'Замовлення товарів'!$A$2:$D$17,3,0)</f>
        <v>39812</v>
      </c>
      <c r="D33" s="33" t="str">
        <f>VLOOKUP('Замовлення товарів'!$A$11,'Замовлення товарів'!$A$2:$D$17,4,0)</f>
        <v>не оплачено</v>
      </c>
      <c r="E33" s="4">
        <f>'Вміст замовлення'!C31</f>
        <v>160</v>
      </c>
      <c r="F33" s="39">
        <f>IF(E33&gt;=200,VLOOKUP('Вміст замовлення'!B31,'Довідник товарів'!$A$2:$E$12,5,0),VLOOKUP('Вміст замовлення'!B31,'Довідник товарів'!$A$2:$E$12,4,0))</f>
        <v>16.6</v>
      </c>
      <c r="G33" s="34">
        <f>F33*E33</f>
        <v>2656</v>
      </c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</row>
    <row r="34" spans="1:23" ht="12.75" hidden="1" outlineLevel="2">
      <c r="A34" s="4" t="str">
        <f>LOOKUP('Вміст замовлення'!B44,'Довідник товарів'!$A$2:$A$12,'Довідник товарів'!$B$2:$B$12)</f>
        <v>Паркет</v>
      </c>
      <c r="B34" s="4">
        <f>'Вміст замовлення'!A44</f>
        <v>16</v>
      </c>
      <c r="C34" s="33">
        <f>VLOOKUP('Замовлення товарів'!$A$17,'Замовлення товарів'!$A$2:$D$17,3,0)</f>
        <v>39855</v>
      </c>
      <c r="D34" s="33">
        <f>VLOOKUP('Замовлення товарів'!$A$17,'Замовлення товарів'!$A$2:$D$17,4,0)</f>
        <v>39872</v>
      </c>
      <c r="E34" s="4">
        <f>'Вміст замовлення'!C44</f>
        <v>70</v>
      </c>
      <c r="F34" s="39">
        <f>IF(E34&gt;=200,VLOOKUP('Вміст замовлення'!B44,'Довідник товарів'!$A$2:$E$12,5,0),VLOOKUP('Вміст замовлення'!B44,'Довідник товарів'!$A$2:$E$12,4,0))</f>
        <v>16.6</v>
      </c>
      <c r="G34" s="34">
        <f>F34*E34</f>
        <v>1162</v>
      </c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</row>
    <row r="35" spans="1:23" ht="12.75" outlineLevel="1" collapsed="1">
      <c r="A35" s="49" t="s">
        <v>65</v>
      </c>
      <c r="B35" s="4"/>
      <c r="C35" s="33"/>
      <c r="D35" s="33"/>
      <c r="E35" s="4">
        <f>SUBTOTAL(9,E30:E34)</f>
        <v>910</v>
      </c>
      <c r="F35" s="39"/>
      <c r="G35" s="34">
        <f>SUBTOTAL(9,G30:G34)</f>
        <v>15051</v>
      </c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</row>
    <row r="36" spans="1:23" ht="12.75" hidden="1" outlineLevel="2">
      <c r="A36" s="4" t="str">
        <f>LOOKUP('Вміст замовлення'!B9,'Довідник товарів'!$A$2:$A$12,'Довідник товарів'!$B$2:$B$12)</f>
        <v>Підвісні стелі</v>
      </c>
      <c r="B36" s="4">
        <f>'Вміст замовлення'!A9</f>
        <v>3</v>
      </c>
      <c r="C36" s="33">
        <f>VLOOKUP('Замовлення товарів'!$A$4,'Замовлення товарів'!$A$2:$D$17,3,0)</f>
        <v>39769</v>
      </c>
      <c r="D36" s="33" t="str">
        <f>VLOOKUP('Замовлення товарів'!$A$4,'Замовлення товарів'!$A$2:$D$17,4,0)</f>
        <v>не оплачено</v>
      </c>
      <c r="E36" s="4">
        <f>'Вміст замовлення'!C9</f>
        <v>120</v>
      </c>
      <c r="F36" s="39">
        <f>IF(E36&gt;=200,VLOOKUP('Вміст замовлення'!B9,'Довідник товарів'!$A$2:$E$12,5,0),VLOOKUP('Вміст замовлення'!B9,'Довідник товарів'!$A$2:$E$12,4,0))</f>
        <v>6.8</v>
      </c>
      <c r="G36" s="34">
        <f>F36*E36</f>
        <v>816</v>
      </c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</row>
    <row r="37" spans="1:23" ht="12.75" hidden="1" outlineLevel="2">
      <c r="A37" s="4" t="str">
        <f>LOOKUP('Вміст замовлення'!B14,'Довідник товарів'!$A$2:$A$12,'Довідник товарів'!$B$2:$B$12)</f>
        <v>Підвісні стелі</v>
      </c>
      <c r="B37" s="4">
        <f>'Вміст замовлення'!A14</f>
        <v>5</v>
      </c>
      <c r="C37" s="33">
        <f>VLOOKUP('Замовлення товарів'!$A$6,'Замовлення товарів'!$A$2:$D$17,3,0)</f>
        <v>39781</v>
      </c>
      <c r="D37" s="33" t="str">
        <f>VLOOKUP('Замовлення товарів'!$A$6,'Замовлення товарів'!$A$2:$D$17,4,0)</f>
        <v>не оплачено</v>
      </c>
      <c r="E37" s="4">
        <f>'Вміст замовлення'!C14</f>
        <v>200</v>
      </c>
      <c r="F37" s="39">
        <f>IF(E37&gt;=200,VLOOKUP('Вміст замовлення'!B14,'Довідник товарів'!$A$2:$E$12,5,0),VLOOKUP('Вміст замовлення'!B14,'Довідник товарів'!$A$2:$E$12,4,0))</f>
        <v>6.7</v>
      </c>
      <c r="G37" s="34">
        <f>F37*E37</f>
        <v>1340</v>
      </c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</row>
    <row r="38" spans="1:7" ht="12.75" hidden="1" outlineLevel="2">
      <c r="A38" s="4" t="str">
        <f>LOOKUP('Вміст замовлення'!B29,'Довідник товарів'!$A$2:$A$12,'Довідник товарів'!$B$2:$B$12)</f>
        <v>Підвісні стелі</v>
      </c>
      <c r="B38" s="4">
        <f>'Вміст замовлення'!A29</f>
        <v>10</v>
      </c>
      <c r="C38" s="33">
        <f>VLOOKUP('Замовлення товарів'!$A$11,'Замовлення товарів'!$A$2:$D$17,3,0)</f>
        <v>39812</v>
      </c>
      <c r="D38" s="33" t="str">
        <f>VLOOKUP('Замовлення товарів'!$A$11,'Замовлення товарів'!$A$2:$D$17,4,0)</f>
        <v>не оплачено</v>
      </c>
      <c r="E38" s="4">
        <f>'Вміст замовлення'!C29</f>
        <v>320</v>
      </c>
      <c r="F38" s="39">
        <f>IF(E38&gt;=200,VLOOKUP('Вміст замовлення'!B29,'Довідник товарів'!$A$2:$E$12,5,0),VLOOKUP('Вміст замовлення'!B29,'Довідник товарів'!$A$2:$E$12,4,0))</f>
        <v>6.7</v>
      </c>
      <c r="G38" s="34">
        <f>F38*E38</f>
        <v>2144</v>
      </c>
    </row>
    <row r="39" spans="1:7" ht="12.75" hidden="1" outlineLevel="2">
      <c r="A39" s="4" t="str">
        <f>LOOKUP('Вміст замовлення'!B38,'Довідник товарів'!$A$2:$A$12,'Довідник товарів'!$B$2:$B$12)</f>
        <v>Підвісні стелі</v>
      </c>
      <c r="B39" s="4">
        <f>'Вміст замовлення'!A38</f>
        <v>13</v>
      </c>
      <c r="C39" s="33">
        <f>VLOOKUP('Замовлення товарів'!$A$14,'Замовлення товарів'!$A$2:$D$17,3,0)</f>
        <v>39834</v>
      </c>
      <c r="D39" s="33">
        <f>VLOOKUP('Замовлення товарів'!$A$14,'Замовлення товарів'!$A$2:$D$17,4,0)</f>
        <v>39851</v>
      </c>
      <c r="E39" s="4">
        <f>'Вміст замовлення'!C38</f>
        <v>120</v>
      </c>
      <c r="F39" s="39">
        <f>IF(E39&gt;=200,VLOOKUP('Вміст замовлення'!B38,'Довідник товарів'!$A$2:$E$12,5,0),VLOOKUP('Вміст замовлення'!B38,'Довідник товарів'!$A$2:$E$12,4,0))</f>
        <v>6.8</v>
      </c>
      <c r="G39" s="34">
        <f>F39*E39</f>
        <v>816</v>
      </c>
    </row>
    <row r="40" spans="1:7" ht="12.75" hidden="1" outlineLevel="2">
      <c r="A40" s="4" t="str">
        <f>LOOKUP('Вміст замовлення'!B43,'Довідник товарів'!$A$2:$A$12,'Довідник товарів'!$B$2:$B$12)</f>
        <v>Підвісні стелі</v>
      </c>
      <c r="B40" s="4">
        <f>'Вміст замовлення'!A43</f>
        <v>15</v>
      </c>
      <c r="C40" s="33">
        <f>VLOOKUP('Замовлення товарів'!$A$16,'Замовлення товарів'!$A$2:$D$17,3,0)</f>
        <v>39849</v>
      </c>
      <c r="D40" s="33" t="str">
        <f>VLOOKUP('Замовлення товарів'!$A$16,'Замовлення товарів'!$A$2:$D$17,4,0)</f>
        <v>не оплачено</v>
      </c>
      <c r="E40" s="4">
        <f>'Вміст замовлення'!C43</f>
        <v>80</v>
      </c>
      <c r="F40" s="39">
        <f>IF(E40&gt;=200,VLOOKUP('Вміст замовлення'!B43,'Довідник товарів'!$A$2:$E$12,5,0),VLOOKUP('Вміст замовлення'!B43,'Довідник товарів'!$A$2:$E$12,4,0))</f>
        <v>6.8</v>
      </c>
      <c r="G40" s="34">
        <f>F40*E40</f>
        <v>544</v>
      </c>
    </row>
    <row r="41" spans="1:7" ht="12.75" outlineLevel="1" collapsed="1">
      <c r="A41" s="49" t="s">
        <v>66</v>
      </c>
      <c r="B41" s="4"/>
      <c r="C41" s="33"/>
      <c r="D41" s="33"/>
      <c r="E41" s="4">
        <f>SUBTOTAL(9,E36:E40)</f>
        <v>840</v>
      </c>
      <c r="F41" s="39"/>
      <c r="G41" s="34">
        <f>SUBTOTAL(9,G36:G40)</f>
        <v>5660</v>
      </c>
    </row>
    <row r="42" spans="1:7" ht="12.75" hidden="1" outlineLevel="2">
      <c r="A42" s="4" t="str">
        <f>LOOKUP('Вміст замовлення'!B6,'Довідник товарів'!$A$2:$A$12,'Довідник товарів'!$B$2:$B$12)</f>
        <v>Плінтус</v>
      </c>
      <c r="B42" s="4">
        <f>'Вміст замовлення'!A6</f>
        <v>2</v>
      </c>
      <c r="C42" s="33">
        <f>VLOOKUP('Замовлення товарів'!$A$3,'Замовлення товарів'!$A$2:$D$17,3,0)</f>
        <v>39763</v>
      </c>
      <c r="D42" s="33">
        <f>VLOOKUP('Замовлення товарів'!$A$3,'Замовлення товарів'!$A$2:$D$17,4,0)</f>
        <v>39770</v>
      </c>
      <c r="E42" s="4">
        <f>'Вміст замовлення'!C6</f>
        <v>400</v>
      </c>
      <c r="F42" s="39">
        <f>IF(E42&gt;=200,VLOOKUP('Вміст замовлення'!B6,'Довідник товарів'!$A$2:$E$12,5,0),VLOOKUP('Вміст замовлення'!B6,'Довідник товарів'!$A$2:$E$12,4,0))</f>
        <v>2.8</v>
      </c>
      <c r="G42" s="34">
        <f aca="true" t="shared" si="2" ref="G42:G47">F42*E42</f>
        <v>1120</v>
      </c>
    </row>
    <row r="43" spans="1:7" ht="12.75" hidden="1" outlineLevel="2">
      <c r="A43" s="4" t="str">
        <f>LOOKUP('Вміст замовлення'!B7,'Довідник товарів'!$A$2:$A$12,'Довідник товарів'!$B$2:$B$12)</f>
        <v>Плінтус</v>
      </c>
      <c r="B43" s="4">
        <f>'Вміст замовлення'!A7</f>
        <v>2</v>
      </c>
      <c r="C43" s="33">
        <f>VLOOKUP('Замовлення товарів'!$A$3,'Замовлення товарів'!$A$2:$D$17,3,0)</f>
        <v>39763</v>
      </c>
      <c r="D43" s="33">
        <f>VLOOKUP('Замовлення товарів'!$A$3,'Замовлення товарів'!$A$2:$D$17,4,0)</f>
        <v>39770</v>
      </c>
      <c r="E43" s="4">
        <f>'Вміст замовлення'!C7</f>
        <v>200</v>
      </c>
      <c r="F43" s="39">
        <f>IF(E43&gt;=200,VLOOKUP('Вміст замовлення'!B7,'Довідник товарів'!$A$2:$E$12,5,0),VLOOKUP('Вміст замовлення'!B7,'Довідник товарів'!$A$2:$E$12,4,0))</f>
        <v>5.8</v>
      </c>
      <c r="G43" s="34">
        <f t="shared" si="2"/>
        <v>1160</v>
      </c>
    </row>
    <row r="44" spans="1:7" ht="12.75" hidden="1" outlineLevel="2">
      <c r="A44" s="4" t="str">
        <f>LOOKUP('Вміст замовлення'!B19,'Довідник товарів'!$A$2:$A$12,'Довідник товарів'!$B$2:$B$12)</f>
        <v>Плінтус</v>
      </c>
      <c r="B44" s="4">
        <f>'Вміст замовлення'!A19</f>
        <v>6</v>
      </c>
      <c r="C44" s="33">
        <f>VLOOKUP('Замовлення товарів'!$A$7,'Замовлення товарів'!$A$2:$D$17,3,0)</f>
        <v>39784</v>
      </c>
      <c r="D44" s="33">
        <f>VLOOKUP('Замовлення товарів'!$A$7,'Замовлення товарів'!$A$2:$D$17,4,0)</f>
        <v>39799</v>
      </c>
      <c r="E44" s="4">
        <f>'Вміст замовлення'!C19</f>
        <v>250</v>
      </c>
      <c r="F44" s="39">
        <f>IF(E44&gt;=200,VLOOKUP('Вміст замовлення'!B19,'Довідник товарів'!$A$2:$E$12,5,0),VLOOKUP('Вміст замовлення'!B19,'Довідник товарів'!$A$2:$E$12,4,0))</f>
        <v>5.8</v>
      </c>
      <c r="G44" s="34">
        <f t="shared" si="2"/>
        <v>1450</v>
      </c>
    </row>
    <row r="45" spans="1:7" ht="12.75" hidden="1" outlineLevel="2">
      <c r="A45" s="4" t="str">
        <f>LOOKUP('Вміст замовлення'!B22,'Довідник товарів'!$A$2:$A$12,'Довідник товарів'!$B$2:$B$12)</f>
        <v>Плінтус</v>
      </c>
      <c r="B45" s="4">
        <f>'Вміст замовлення'!A22</f>
        <v>7</v>
      </c>
      <c r="C45" s="33">
        <f>VLOOKUP('Замовлення товарів'!$A$8,'Замовлення товарів'!$A$2:$D$17,3,0)</f>
        <v>39793</v>
      </c>
      <c r="D45" s="33">
        <f>VLOOKUP('Замовлення товарів'!$A$8,'Замовлення товарів'!$A$2:$D$17,4,0)</f>
        <v>39812</v>
      </c>
      <c r="E45" s="4">
        <f>'Вміст замовлення'!C22</f>
        <v>100</v>
      </c>
      <c r="F45" s="39">
        <f>IF(E45&gt;=200,VLOOKUP('Вміст замовлення'!B22,'Довідник товарів'!$A$2:$E$12,5,0),VLOOKUP('Вміст замовлення'!B22,'Довідник товарів'!$A$2:$E$12,4,0))</f>
        <v>2.9</v>
      </c>
      <c r="G45" s="34">
        <f t="shared" si="2"/>
        <v>290</v>
      </c>
    </row>
    <row r="46" spans="1:7" ht="12.75" hidden="1" outlineLevel="2">
      <c r="A46" s="4" t="str">
        <f>LOOKUP('Вміст замовлення'!B23,'Довідник товарів'!$A$2:$A$12,'Довідник товарів'!$B$2:$B$12)</f>
        <v>Плінтус</v>
      </c>
      <c r="B46" s="4">
        <f>'Вміст замовлення'!A23</f>
        <v>8</v>
      </c>
      <c r="C46" s="33">
        <f>VLOOKUP('Замовлення товарів'!$A$9,'Замовлення товарів'!$A$2:$D$17,3,0)</f>
        <v>39796</v>
      </c>
      <c r="D46" s="33" t="str">
        <f>VLOOKUP('Замовлення товарів'!$A$9,'Замовлення товарів'!$A$2:$D$17,4,0)</f>
        <v>не оплачено</v>
      </c>
      <c r="E46" s="4">
        <f>'Вміст замовлення'!C23</f>
        <v>150</v>
      </c>
      <c r="F46" s="39">
        <f>IF(E46&gt;=200,VLOOKUP('Вміст замовлення'!B23,'Довідник товарів'!$A$2:$E$12,5,0),VLOOKUP('Вміст замовлення'!B23,'Довідник товарів'!$A$2:$E$12,4,0))</f>
        <v>5.9</v>
      </c>
      <c r="G46" s="34">
        <f t="shared" si="2"/>
        <v>885</v>
      </c>
    </row>
    <row r="47" spans="1:7" ht="12.75" hidden="1" outlineLevel="2">
      <c r="A47" s="4" t="str">
        <f>LOOKUP('Вміст замовлення'!B41,'Довідник товарів'!$A$2:$A$12,'Довідник товарів'!$B$2:$B$12)</f>
        <v>Плінтус</v>
      </c>
      <c r="B47" s="4">
        <f>'Вміст замовлення'!A41</f>
        <v>15</v>
      </c>
      <c r="C47" s="33">
        <f>VLOOKUP('Замовлення товарів'!$A$16,'Замовлення товарів'!$A$2:$D$17,3,0)</f>
        <v>39849</v>
      </c>
      <c r="D47" s="33" t="str">
        <f>VLOOKUP('Замовлення товарів'!$A$16,'Замовлення товарів'!$A$2:$D$17,4,0)</f>
        <v>не оплачено</v>
      </c>
      <c r="E47" s="4">
        <f>'Вміст замовлення'!C41</f>
        <v>150</v>
      </c>
      <c r="F47" s="39">
        <f>IF(E47&gt;=200,VLOOKUP('Вміст замовлення'!B41,'Довідник товарів'!$A$2:$E$12,5,0),VLOOKUP('Вміст замовлення'!B41,'Довідник товарів'!$A$2:$E$12,4,0))</f>
        <v>5.9</v>
      </c>
      <c r="G47" s="34">
        <f t="shared" si="2"/>
        <v>885</v>
      </c>
    </row>
    <row r="48" spans="1:7" ht="12.75" outlineLevel="1" collapsed="1">
      <c r="A48" s="49" t="s">
        <v>67</v>
      </c>
      <c r="B48" s="4"/>
      <c r="C48" s="33"/>
      <c r="D48" s="33"/>
      <c r="E48" s="4">
        <f>SUBTOTAL(9,E42:E47)</f>
        <v>1250</v>
      </c>
      <c r="F48" s="39"/>
      <c r="G48" s="34">
        <f>SUBTOTAL(9,G42:G47)</f>
        <v>5790</v>
      </c>
    </row>
    <row r="49" spans="1:7" ht="12.75" hidden="1" outlineLevel="2">
      <c r="A49" s="4" t="str">
        <f>LOOKUP('Вміст замовлення'!B3,'Довідник товарів'!$A$2:$A$12,'Довідник товарів'!$B$2:$B$12)</f>
        <v>Шпалери акрилові</v>
      </c>
      <c r="B49" s="4">
        <f>'Вміст замовлення'!A3</f>
        <v>1</v>
      </c>
      <c r="C49" s="33">
        <f>VLOOKUP('Замовлення товарів'!$A$2,'Замовлення товарів'!$A$2:$D$17,3,0)</f>
        <v>39754</v>
      </c>
      <c r="D49" s="33">
        <f>VLOOKUP('Замовлення товарів'!$A$2,'Замовлення товарів'!$A$2:$D$17,4,0)</f>
        <v>39757</v>
      </c>
      <c r="E49" s="4">
        <f>'Вміст замовлення'!C3</f>
        <v>150</v>
      </c>
      <c r="F49" s="39">
        <f>IF(E49&gt;=200,VLOOKUP('Вміст замовлення'!B3,'Довідник товарів'!$A$2:$E$12,5,0),VLOOKUP('Вміст замовлення'!B3,'Довідник товарів'!$A$2:$E$12,4,0))</f>
        <v>13.3</v>
      </c>
      <c r="G49" s="34">
        <f aca="true" t="shared" si="3" ref="G49:G54">F49*E49</f>
        <v>1995</v>
      </c>
    </row>
    <row r="50" spans="1:7" ht="12.75" hidden="1" outlineLevel="2">
      <c r="A50" s="4" t="str">
        <f>LOOKUP('Вміст замовлення'!B13,'Довідник товарів'!$A$2:$A$12,'Довідник товарів'!$B$2:$B$12)</f>
        <v>Шпалери акрилові</v>
      </c>
      <c r="B50" s="4">
        <f>'Вміст замовлення'!A13</f>
        <v>4</v>
      </c>
      <c r="C50" s="33">
        <f>VLOOKUP('Замовлення товарів'!$A$5,'Замовлення товарів'!$A$2:$D$17,3,0)</f>
        <v>39778</v>
      </c>
      <c r="D50" s="33">
        <f>VLOOKUP('Замовлення товарів'!$A$5,'Замовлення товарів'!$A$2:$D$17,4,0)</f>
        <v>39791</v>
      </c>
      <c r="E50" s="4">
        <f>'Вміст замовлення'!C13</f>
        <v>550</v>
      </c>
      <c r="F50" s="39">
        <f>IF(E50&gt;=200,VLOOKUP('Вміст замовлення'!B13,'Довідник товарів'!$A$2:$E$12,5,0),VLOOKUP('Вміст замовлення'!B13,'Довідник товарів'!$A$2:$E$12,4,0))</f>
        <v>12.8</v>
      </c>
      <c r="G50" s="34">
        <f t="shared" si="3"/>
        <v>7040</v>
      </c>
    </row>
    <row r="51" spans="1:7" ht="12.75" hidden="1" outlineLevel="2">
      <c r="A51" s="4" t="str">
        <f>LOOKUP('Вміст замовлення'!B28,'Довідник товарів'!$A$2:$A$12,'Довідник товарів'!$B$2:$B$12)</f>
        <v>Шпалери акрилові</v>
      </c>
      <c r="B51" s="4">
        <f>'Вміст замовлення'!A28</f>
        <v>10</v>
      </c>
      <c r="C51" s="33">
        <f>VLOOKUP('Замовлення товарів'!$A$11,'Замовлення товарів'!$A$2:$D$17,3,0)</f>
        <v>39812</v>
      </c>
      <c r="D51" s="33" t="str">
        <f>VLOOKUP('Замовлення товарів'!$A$11,'Замовлення товарів'!$A$2:$D$17,4,0)</f>
        <v>не оплачено</v>
      </c>
      <c r="E51" s="4">
        <f>'Вміст замовлення'!C28</f>
        <v>280</v>
      </c>
      <c r="F51" s="39">
        <f>IF(E51&gt;=200,VLOOKUP('Вміст замовлення'!B28,'Довідник товарів'!$A$2:$E$12,5,0),VLOOKUP('Вміст замовлення'!B28,'Довідник товарів'!$A$2:$E$12,4,0))</f>
        <v>12.8</v>
      </c>
      <c r="G51" s="34">
        <f t="shared" si="3"/>
        <v>3584</v>
      </c>
    </row>
    <row r="52" spans="1:7" ht="12.75" hidden="1" outlineLevel="2">
      <c r="A52" s="4" t="str">
        <f>LOOKUP('Вміст замовлення'!B34,'Довідник товарів'!$A$2:$A$12,'Довідник товарів'!$B$2:$B$12)</f>
        <v>Шпалери акрилові</v>
      </c>
      <c r="B52" s="4">
        <f>'Вміст замовлення'!A34</f>
        <v>12</v>
      </c>
      <c r="C52" s="33">
        <f>VLOOKUP('Замовлення товарів'!$A$13,'Замовлення товарів'!$A$2:$D$17,3,0)</f>
        <v>39828</v>
      </c>
      <c r="D52" s="33">
        <f>VLOOKUP('Замовлення товарів'!$A$13,'Замовлення товарів'!$A$2:$D$17,4,0)</f>
        <v>39835</v>
      </c>
      <c r="E52" s="4">
        <f>'Вміст замовлення'!C34</f>
        <v>120</v>
      </c>
      <c r="F52" s="39">
        <f>IF(E52&gt;=200,VLOOKUP('Вміст замовлення'!B34,'Довідник товарів'!$A$2:$E$12,5,0),VLOOKUP('Вміст замовлення'!B34,'Довідник товарів'!$A$2:$E$12,4,0))</f>
        <v>13.3</v>
      </c>
      <c r="G52" s="34">
        <f t="shared" si="3"/>
        <v>1596</v>
      </c>
    </row>
    <row r="53" spans="1:7" ht="12.75" hidden="1" outlineLevel="2">
      <c r="A53" s="4" t="str">
        <f>LOOKUP('Вміст замовлення'!B37,'Довідник товарів'!$A$2:$A$12,'Довідник товарів'!$B$2:$B$12)</f>
        <v>Шпалери акрилові</v>
      </c>
      <c r="B53" s="4">
        <f>'Вміст замовлення'!A37</f>
        <v>13</v>
      </c>
      <c r="C53" s="33">
        <f>VLOOKUP('Замовлення товарів'!$A$14,'Замовлення товарів'!$A$2:$D$17,3,0)</f>
        <v>39834</v>
      </c>
      <c r="D53" s="33">
        <f>VLOOKUP('Замовлення товарів'!$A$14,'Замовлення товарів'!$A$2:$D$17,4,0)</f>
        <v>39851</v>
      </c>
      <c r="E53" s="4">
        <f>'Вміст замовлення'!C37</f>
        <v>100</v>
      </c>
      <c r="F53" s="39">
        <f>IF(E53&gt;=200,VLOOKUP('Вміст замовлення'!B37,'Довідник товарів'!$A$2:$E$12,5,0),VLOOKUP('Вміст замовлення'!B37,'Довідник товарів'!$A$2:$E$12,4,0))</f>
        <v>13.3</v>
      </c>
      <c r="G53" s="34">
        <f t="shared" si="3"/>
        <v>1330</v>
      </c>
    </row>
    <row r="54" spans="1:7" ht="12.75" hidden="1" outlineLevel="2">
      <c r="A54" s="4" t="str">
        <f>LOOKUP('Вміст замовлення'!B46,'Довідник товарів'!$A$2:$A$12,'Довідник товарів'!$B$2:$B$12)</f>
        <v>Шпалери акрилові</v>
      </c>
      <c r="B54" s="4">
        <f>'Вміст замовлення'!A46</f>
        <v>16</v>
      </c>
      <c r="C54" s="33">
        <f>VLOOKUP('Замовлення товарів'!$A$17,'Замовлення товарів'!$A$2:$D$17,3,0)</f>
        <v>39855</v>
      </c>
      <c r="D54" s="33">
        <f>VLOOKUP('Замовлення товарів'!$A$17,'Замовлення товарів'!$A$2:$D$17,4,0)</f>
        <v>39872</v>
      </c>
      <c r="E54" s="4">
        <v>120</v>
      </c>
      <c r="F54" s="39">
        <f>IF(E54&gt;=200,VLOOKUP('Вміст замовлення'!B46,'Довідник товарів'!$A$2:$E$12,5,0),VLOOKUP('Вміст замовлення'!B46,'Довідник товарів'!$A$2:$E$12,4,0))</f>
        <v>13.3</v>
      </c>
      <c r="G54" s="34">
        <f t="shared" si="3"/>
        <v>1596</v>
      </c>
    </row>
    <row r="55" spans="1:7" ht="12.75" outlineLevel="1" collapsed="1">
      <c r="A55" s="50" t="s">
        <v>68</v>
      </c>
      <c r="B55" s="44"/>
      <c r="C55" s="35"/>
      <c r="D55" s="35"/>
      <c r="E55" s="44">
        <f>SUBTOTAL(9,E49:E54)</f>
        <v>1320</v>
      </c>
      <c r="F55" s="46"/>
      <c r="G55" s="28">
        <f>SUBTOTAL(9,G49:G54)</f>
        <v>17141</v>
      </c>
    </row>
    <row r="56" spans="1:7" ht="12.75">
      <c r="A56" s="50" t="s">
        <v>60</v>
      </c>
      <c r="B56" s="44"/>
      <c r="C56" s="35"/>
      <c r="D56" s="35"/>
      <c r="E56" s="44">
        <f>SUBTOTAL(9,E3:E54)</f>
        <v>9375</v>
      </c>
      <c r="F56" s="46"/>
      <c r="G56" s="28">
        <f>SUBTOTAL(9,G3:G54)</f>
        <v>72338.5</v>
      </c>
    </row>
  </sheetData>
  <sheetProtection/>
  <mergeCells count="1">
    <mergeCell ref="A1:G1"/>
  </mergeCells>
  <dataValidations count="1">
    <dataValidation type="list" allowBlank="1" showInputMessage="1" showErrorMessage="1" sqref="Q25">
      <formula1>$J$26:$J$31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52"/>
  <sheetViews>
    <sheetView zoomScale="90" zoomScaleNormal="90" zoomScalePageLayoutView="0" workbookViewId="0" topLeftCell="A1">
      <selection activeCell="S48" sqref="S48"/>
    </sheetView>
  </sheetViews>
  <sheetFormatPr defaultColWidth="9.00390625" defaultRowHeight="12.75" outlineLevelRow="2"/>
  <cols>
    <col min="1" max="1" width="24.25390625" style="10" customWidth="1"/>
    <col min="2" max="2" width="13.125" style="2" bestFit="1" customWidth="1"/>
    <col min="3" max="3" width="13.875" style="10" customWidth="1"/>
    <col min="4" max="4" width="12.125" style="10" bestFit="1" customWidth="1"/>
    <col min="5" max="5" width="12.375" style="10" bestFit="1" customWidth="1"/>
    <col min="6" max="6" width="9.125" style="10" customWidth="1"/>
    <col min="7" max="8" width="10.625" style="10" bestFit="1" customWidth="1"/>
    <col min="9" max="10" width="9.125" style="10" customWidth="1"/>
    <col min="11" max="11" width="11.00390625" style="10" customWidth="1"/>
    <col min="12" max="12" width="14.125" style="10" bestFit="1" customWidth="1"/>
    <col min="13" max="13" width="10.125" style="10" bestFit="1" customWidth="1"/>
    <col min="14" max="15" width="9.125" style="10" customWidth="1"/>
    <col min="16" max="16" width="7.25390625" style="10" customWidth="1"/>
    <col min="17" max="17" width="7.125" style="10" customWidth="1"/>
    <col min="18" max="16384" width="9.125" style="10" customWidth="1"/>
  </cols>
  <sheetData>
    <row r="1" spans="2:8" ht="15.75">
      <c r="B1" s="53" t="s">
        <v>54</v>
      </c>
      <c r="C1" s="53"/>
      <c r="D1" s="53"/>
      <c r="E1" s="53"/>
      <c r="F1" s="53"/>
      <c r="G1" s="53"/>
      <c r="H1" s="53"/>
    </row>
    <row r="2" spans="1:17" s="11" customFormat="1" ht="25.5">
      <c r="A2" s="30" t="s">
        <v>4</v>
      </c>
      <c r="B2" s="30" t="s">
        <v>9</v>
      </c>
      <c r="C2" s="30" t="s">
        <v>0</v>
      </c>
      <c r="D2" s="30" t="s">
        <v>2</v>
      </c>
      <c r="E2" s="30" t="s">
        <v>3</v>
      </c>
      <c r="F2" s="30" t="s">
        <v>37</v>
      </c>
      <c r="G2" s="30" t="s">
        <v>38</v>
      </c>
      <c r="H2" s="30" t="s">
        <v>39</v>
      </c>
      <c r="Q2" s="31"/>
    </row>
    <row r="3" spans="1:24" ht="12.75" outlineLevel="2">
      <c r="A3" s="13" t="str">
        <f>LOOKUP(VLOOKUP(C3,'Замовлення товарів'!$A$2:$B$17,2,0),'Довідник фірм'!$A$2:$A$5,'Довідник фірм'!$B$2:$B$5)</f>
        <v>АІМ</v>
      </c>
      <c r="B3" s="13" t="str">
        <f>LOOKUP(VLOOKUP(C3,'Замовлення товарів'!$A$2:$B$17,2,0),'Довідник фірм'!$A$2:$A$5,'Довідник фірм'!$C$2:$C$5)</f>
        <v>224-50-71</v>
      </c>
      <c r="C3" s="4">
        <f>'Вміст замовлення'!A11</f>
        <v>4</v>
      </c>
      <c r="D3" s="33">
        <f>VLOOKUP('Замовлення товарів'!$A$5,'Замовлення товарів'!$A$2:$D$17,3,0)</f>
        <v>39778</v>
      </c>
      <c r="E3" s="33">
        <f>VLOOKUP('Замовлення товарів'!$A$5,'Замовлення товарів'!$A$2:$D$17,4,0)</f>
        <v>39791</v>
      </c>
      <c r="F3" s="4">
        <f>'Вміст замовлення'!C11</f>
        <v>100</v>
      </c>
      <c r="G3" s="39">
        <f>IF(F3&gt;=200,VLOOKUP('Вміст замовлення'!B11,'Довідник товарів'!$A$2:$E$12,5,0),VLOOKUP('Вміст замовлення'!B11,'Довідник товарів'!$A$2:$E$12,4,0))</f>
        <v>6.4</v>
      </c>
      <c r="H3" s="34">
        <f aca="true" t="shared" si="0" ref="H3:H12">G3*F3</f>
        <v>640</v>
      </c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</row>
    <row r="4" spans="1:24" ht="12.75" outlineLevel="2">
      <c r="A4" s="13" t="str">
        <f>LOOKUP(VLOOKUP(C4,'Замовлення товарів'!$A$2:$B$17,2,0),'Довідник фірм'!$A$2:$A$5,'Довідник фірм'!$B$2:$B$5)</f>
        <v>АІМ</v>
      </c>
      <c r="B4" s="13" t="str">
        <f>LOOKUP(VLOOKUP(C4,'Замовлення товарів'!$A$2:$B$17,2,0),'Довідник фірм'!$A$2:$A$5,'Довідник фірм'!$C$2:$C$5)</f>
        <v>224-50-71</v>
      </c>
      <c r="C4" s="4">
        <f>'Вміст замовлення'!A12</f>
        <v>4</v>
      </c>
      <c r="D4" s="33">
        <f>VLOOKUP('Замовлення товарів'!$A$5,'Замовлення товарів'!$A$2:$D$17,3,0)</f>
        <v>39778</v>
      </c>
      <c r="E4" s="33">
        <f>VLOOKUP('Замовлення товарів'!$A$5,'Замовлення товарів'!$A$2:$D$17,4,0)</f>
        <v>39791</v>
      </c>
      <c r="F4" s="4">
        <f>'Вміст замовлення'!C12</f>
        <v>600</v>
      </c>
      <c r="G4" s="39">
        <f>IF(F4&gt;=200,VLOOKUP('Вміст замовлення'!B12,'Довідник товарів'!$A$2:$E$12,5,0),VLOOKUP('Вміст замовлення'!B12,'Довідник товарів'!$A$2:$E$12,4,0))</f>
        <v>8.25</v>
      </c>
      <c r="H4" s="34">
        <f t="shared" si="0"/>
        <v>4950</v>
      </c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35"/>
      <c r="V4" s="18"/>
      <c r="W4" s="18"/>
      <c r="X4" s="18"/>
    </row>
    <row r="5" spans="1:24" ht="12.75" outlineLevel="2">
      <c r="A5" s="13" t="str">
        <f>LOOKUP(VLOOKUP(C5,'Замовлення товарів'!$A$2:$B$17,2,0),'Довідник фірм'!$A$2:$A$5,'Довідник фірм'!$B$2:$B$5)</f>
        <v>АІМ</v>
      </c>
      <c r="B5" s="13" t="str">
        <f>LOOKUP(VLOOKUP(C5,'Замовлення товарів'!$A$2:$B$17,2,0),'Довідник фірм'!$A$2:$A$5,'Довідник фірм'!$C$2:$C$5)</f>
        <v>224-50-71</v>
      </c>
      <c r="C5" s="4">
        <f>'Вміст замовлення'!A13</f>
        <v>4</v>
      </c>
      <c r="D5" s="33">
        <f>VLOOKUP('Замовлення товарів'!$A$5,'Замовлення товарів'!$A$2:$D$17,3,0)</f>
        <v>39778</v>
      </c>
      <c r="E5" s="33">
        <f>VLOOKUP('Замовлення товарів'!$A$5,'Замовлення товарів'!$A$2:$D$17,4,0)</f>
        <v>39791</v>
      </c>
      <c r="F5" s="4">
        <f>'Вміст замовлення'!C13</f>
        <v>550</v>
      </c>
      <c r="G5" s="39">
        <f>IF(F5&gt;=200,VLOOKUP('Вміст замовлення'!B13,'Довідник товарів'!$A$2:$E$12,5,0),VLOOKUP('Вміст замовлення'!B13,'Довідник товарів'!$A$2:$E$12,4,0))</f>
        <v>12.8</v>
      </c>
      <c r="H5" s="34">
        <f t="shared" si="0"/>
        <v>7040</v>
      </c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35"/>
      <c r="V5" s="18"/>
      <c r="W5" s="18"/>
      <c r="X5" s="18"/>
    </row>
    <row r="6" spans="1:24" ht="12.75" outlineLevel="2">
      <c r="A6" s="13" t="str">
        <f>LOOKUP(VLOOKUP(C6,'Замовлення товарів'!$A$2:$B$17,2,0),'Довідник фірм'!$A$2:$A$5,'Довідник фірм'!$B$2:$B$5)</f>
        <v>АІМ</v>
      </c>
      <c r="B6" s="13" t="str">
        <f>LOOKUP(VLOOKUP(C6,'Замовлення товарів'!$A$2:$B$17,2,0),'Довідник фірм'!$A$2:$A$5,'Довідник фірм'!$C$2:$C$5)</f>
        <v>224-50-71</v>
      </c>
      <c r="C6" s="4">
        <f>'Вміст замовлення'!A23</f>
        <v>8</v>
      </c>
      <c r="D6" s="33">
        <f>VLOOKUP('Замовлення товарів'!$A$9,'Замовлення товарів'!$A$2:$D$17,3,0)</f>
        <v>39796</v>
      </c>
      <c r="E6" s="33" t="str">
        <f>VLOOKUP('Замовлення товарів'!$A$9,'Замовлення товарів'!$A$2:$D$17,4,0)</f>
        <v>не оплачено</v>
      </c>
      <c r="F6" s="4">
        <f>'Вміст замовлення'!C23</f>
        <v>150</v>
      </c>
      <c r="G6" s="39">
        <f>IF(F6&gt;=200,VLOOKUP('Вміст замовлення'!B23,'Довідник товарів'!$A$2:$E$12,5,0),VLOOKUP('Вміст замовлення'!B23,'Довідник товарів'!$A$2:$E$12,4,0))</f>
        <v>5.9</v>
      </c>
      <c r="H6" s="34">
        <f t="shared" si="0"/>
        <v>885</v>
      </c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35"/>
      <c r="V6" s="18"/>
      <c r="W6" s="18"/>
      <c r="X6" s="18"/>
    </row>
    <row r="7" spans="1:24" ht="12.75" outlineLevel="2">
      <c r="A7" s="13" t="str">
        <f>LOOKUP(VLOOKUP(C7,'Замовлення товарів'!$A$2:$B$17,2,0),'Довідник фірм'!$A$2:$A$5,'Довідник фірм'!$B$2:$B$5)</f>
        <v>АІМ</v>
      </c>
      <c r="B7" s="13" t="str">
        <f>LOOKUP(VLOOKUP(C7,'Замовлення товарів'!$A$2:$B$17,2,0),'Довідник фірм'!$A$2:$A$5,'Довідник фірм'!$C$2:$C$5)</f>
        <v>224-50-71</v>
      </c>
      <c r="C7" s="4">
        <f>'Вміст замовлення'!A24</f>
        <v>8</v>
      </c>
      <c r="D7" s="33">
        <f>VLOOKUP('Замовлення товарів'!$A$9,'Замовлення товарів'!$A$2:$D$17,3,0)</f>
        <v>39796</v>
      </c>
      <c r="E7" s="33" t="str">
        <f>VLOOKUP('Замовлення товарів'!$A$9,'Замовлення товарів'!$A$2:$D$17,4,0)</f>
        <v>не оплачено</v>
      </c>
      <c r="F7" s="4">
        <f>'Вміст замовлення'!C24</f>
        <v>50</v>
      </c>
      <c r="G7" s="39">
        <f>IF(F7&gt;=200,VLOOKUP('Вміст замовлення'!B24,'Довідник товарів'!$A$2:$E$12,5,0),VLOOKUP('Вміст замовлення'!B24,'Довідник товарів'!$A$2:$E$12,4,0))</f>
        <v>3</v>
      </c>
      <c r="H7" s="34">
        <f t="shared" si="0"/>
        <v>150</v>
      </c>
      <c r="J7" s="18"/>
      <c r="K7" s="20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</row>
    <row r="8" spans="1:24" ht="12.75" outlineLevel="2">
      <c r="A8" s="13" t="str">
        <f>LOOKUP(VLOOKUP(C8,'Замовлення товарів'!$A$2:$B$17,2,0),'Довідник фірм'!$A$2:$A$5,'Довідник фірм'!$B$2:$B$5)</f>
        <v>АІМ</v>
      </c>
      <c r="B8" s="13" t="str">
        <f>LOOKUP(VLOOKUP(C8,'Замовлення товарів'!$A$2:$B$17,2,0),'Довідник фірм'!$A$2:$A$5,'Довідник фірм'!$C$2:$C$5)</f>
        <v>224-50-71</v>
      </c>
      <c r="C8" s="4">
        <f>'Вміст замовлення'!A34</f>
        <v>12</v>
      </c>
      <c r="D8" s="33">
        <f>VLOOKUP('Замовлення товарів'!$A$13,'Замовлення товарів'!$A$2:$D$17,3,0)</f>
        <v>39828</v>
      </c>
      <c r="E8" s="33">
        <f>VLOOKUP('Замовлення товарів'!$A$13,'Замовлення товарів'!$A$2:$D$17,4,0)</f>
        <v>39835</v>
      </c>
      <c r="F8" s="4">
        <f>'Вміст замовлення'!C34</f>
        <v>120</v>
      </c>
      <c r="G8" s="39">
        <f>IF(F8&gt;=200,VLOOKUP('Вміст замовлення'!B34,'Довідник товарів'!$A$2:$E$12,5,0),VLOOKUP('Вміст замовлення'!B34,'Довідник товарів'!$A$2:$E$12,4,0))</f>
        <v>13.3</v>
      </c>
      <c r="H8" s="34">
        <f t="shared" si="0"/>
        <v>1596</v>
      </c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</row>
    <row r="9" spans="1:24" ht="12.75" outlineLevel="2">
      <c r="A9" s="13" t="str">
        <f>LOOKUP(VLOOKUP(C9,'Замовлення товарів'!$A$2:$B$17,2,0),'Довідник фірм'!$A$2:$A$5,'Довідник фірм'!$B$2:$B$5)</f>
        <v>АІМ</v>
      </c>
      <c r="B9" s="13" t="str">
        <f>LOOKUP(VLOOKUP(C9,'Замовлення товарів'!$A$2:$B$17,2,0),'Довідник фірм'!$A$2:$A$5,'Довідник фірм'!$C$2:$C$5)</f>
        <v>224-50-71</v>
      </c>
      <c r="C9" s="4">
        <f>'Вміст замовлення'!A35</f>
        <v>12</v>
      </c>
      <c r="D9" s="33">
        <f>VLOOKUP('Замовлення товарів'!$A$13,'Замовлення товарів'!$A$2:$D$17,3,0)</f>
        <v>39828</v>
      </c>
      <c r="E9" s="33">
        <f>VLOOKUP('Замовлення товарів'!$A$13,'Замовлення товарів'!$A$2:$D$17,4,0)</f>
        <v>39835</v>
      </c>
      <c r="F9" s="4">
        <f>'Вміст замовлення'!C35</f>
        <v>240</v>
      </c>
      <c r="G9" s="39">
        <f>IF(F9&gt;=200,VLOOKUP('Вміст замовлення'!B35,'Довідник товарів'!$A$2:$E$12,5,0),VLOOKUP('Вміст замовлення'!B35,'Довідник товарів'!$A$2:$E$12,4,0))</f>
        <v>6.3</v>
      </c>
      <c r="H9" s="34">
        <f t="shared" si="0"/>
        <v>1512</v>
      </c>
      <c r="J9" s="18"/>
      <c r="K9" s="20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</row>
    <row r="10" spans="1:24" ht="12.75" outlineLevel="2">
      <c r="A10" s="13" t="str">
        <f>LOOKUP(VLOOKUP(C10,'Замовлення товарів'!$A$2:$B$17,2,0),'Довідник фірм'!$A$2:$A$5,'Довідник фірм'!$B$2:$B$5)</f>
        <v>АІМ</v>
      </c>
      <c r="B10" s="13" t="str">
        <f>LOOKUP(VLOOKUP(C10,'Замовлення товарів'!$A$2:$B$17,2,0),'Довідник фірм'!$A$2:$A$5,'Довідник фірм'!$C$2:$C$5)</f>
        <v>224-50-71</v>
      </c>
      <c r="C10" s="4">
        <f>'Вміст замовлення'!A44</f>
        <v>16</v>
      </c>
      <c r="D10" s="33">
        <f>VLOOKUP('Замовлення товарів'!$A$17,'Замовлення товарів'!$A$2:$D$17,3,0)</f>
        <v>39855</v>
      </c>
      <c r="E10" s="33">
        <f>VLOOKUP('Замовлення товарів'!$A$17,'Замовлення товарів'!$A$2:$D$17,4,0)</f>
        <v>39872</v>
      </c>
      <c r="F10" s="4">
        <f>'Вміст замовлення'!C44</f>
        <v>70</v>
      </c>
      <c r="G10" s="39">
        <f>IF(F10&gt;=200,VLOOKUP('Вміст замовлення'!B44,'Довідник товарів'!$A$2:$E$12,5,0),VLOOKUP('Вміст замовлення'!B44,'Довідник товарів'!$A$2:$E$12,4,0))</f>
        <v>16.6</v>
      </c>
      <c r="H10" s="34">
        <f t="shared" si="0"/>
        <v>1162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</row>
    <row r="11" spans="1:24" ht="12.75" outlineLevel="2">
      <c r="A11" s="13" t="str">
        <f>LOOKUP(VLOOKUP(C11,'Замовлення товарів'!$A$2:$B$17,2,0),'Довідник фірм'!$A$2:$A$5,'Довідник фірм'!$B$2:$B$5)</f>
        <v>АІМ</v>
      </c>
      <c r="B11" s="13" t="str">
        <f>LOOKUP(VLOOKUP(C11,'Замовлення товарів'!$A$2:$B$17,2,0),'Довідник фірм'!$A$2:$A$5,'Довідник фірм'!$C$2:$C$5)</f>
        <v>224-50-71</v>
      </c>
      <c r="C11" s="4">
        <f>'Вміст замовлення'!A45</f>
        <v>16</v>
      </c>
      <c r="D11" s="33">
        <f>VLOOKUP('Замовлення товарів'!$A$17,'Замовлення товарів'!$A$2:$D$17,3,0)</f>
        <v>39855</v>
      </c>
      <c r="E11" s="33">
        <f>VLOOKUP('Замовлення товарів'!$A$17,'Замовлення товарів'!$A$2:$D$17,4,0)</f>
        <v>39872</v>
      </c>
      <c r="F11" s="4">
        <f>'Вміст замовлення'!C45</f>
        <v>160</v>
      </c>
      <c r="G11" s="39">
        <f>IF(F11&gt;=200,VLOOKUP('Вміст замовлення'!B45,'Довідник товарів'!$A$2:$E$12,5,0),VLOOKUP('Вміст замовлення'!B45,'Довідник товарів'!$A$2:$E$12,4,0))</f>
        <v>6.4</v>
      </c>
      <c r="H11" s="34">
        <f t="shared" si="0"/>
        <v>1024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</row>
    <row r="12" spans="1:24" ht="12.75" outlineLevel="2">
      <c r="A12" s="13" t="str">
        <f>LOOKUP(VLOOKUP(C12,'Замовлення товарів'!$A$2:$B$17,2,0),'Довідник фірм'!$A$2:$A$5,'Довідник фірм'!$B$2:$B$5)</f>
        <v>АІМ</v>
      </c>
      <c r="B12" s="13" t="str">
        <f>LOOKUP(VLOOKUP(C12,'Замовлення товарів'!$A$2:$B$17,2,0),'Довідник фірм'!$A$2:$A$5,'Довідник фірм'!$C$2:$C$5)</f>
        <v>224-50-71</v>
      </c>
      <c r="C12" s="4">
        <f>'Вміст замовлення'!A46</f>
        <v>16</v>
      </c>
      <c r="D12" s="33">
        <f>VLOOKUP('Замовлення товарів'!$A$17,'Замовлення товарів'!$A$2:$D$17,3,0)</f>
        <v>39855</v>
      </c>
      <c r="E12" s="33">
        <f>VLOOKUP('Замовлення товарів'!$A$17,'Замовлення товарів'!$A$2:$D$17,4,0)</f>
        <v>39872</v>
      </c>
      <c r="F12" s="4">
        <v>120</v>
      </c>
      <c r="G12" s="39">
        <f>IF(F12&gt;=200,VLOOKUP('Вміст замовлення'!B46,'Довідник товарів'!$A$2:$E$12,5,0),VLOOKUP('Вміст замовлення'!B46,'Довідник товарів'!$A$2:$E$12,4,0))</f>
        <v>13.3</v>
      </c>
      <c r="H12" s="34">
        <f t="shared" si="0"/>
        <v>1596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</row>
    <row r="13" spans="1:24" ht="12.75" outlineLevel="1">
      <c r="A13" s="51" t="s">
        <v>69</v>
      </c>
      <c r="B13" s="13"/>
      <c r="C13" s="4"/>
      <c r="D13" s="33"/>
      <c r="E13" s="33"/>
      <c r="F13" s="4">
        <f>SUBTOTAL(9,F3:F12)</f>
        <v>2160</v>
      </c>
      <c r="G13" s="39"/>
      <c r="H13" s="34">
        <f>SUBTOTAL(9,H3:H12)</f>
        <v>20555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</row>
    <row r="14" spans="1:24" ht="12.75" outlineLevel="2">
      <c r="A14" s="13" t="str">
        <f>LOOKUP(VLOOKUP(C14,'Замовлення товарів'!$A$2:$B$17,2,0),'Довідник фірм'!$A$2:$A$5,'Довідник фірм'!$B$2:$B$5)</f>
        <v>АЛЬТАІР</v>
      </c>
      <c r="B14" s="13" t="str">
        <f>LOOKUP(VLOOKUP(C14,'Замовлення товарів'!$A$2:$B$17,2,0),'Довідник фірм'!$A$2:$A$5,'Довідник фірм'!$C$2:$C$5)</f>
        <v>442-91-74</v>
      </c>
      <c r="C14" s="4">
        <f>'Вміст замовлення'!A8</f>
        <v>3</v>
      </c>
      <c r="D14" s="33">
        <f>VLOOKUP('Замовлення товарів'!$A$4,'Замовлення товарів'!$A$2:$D$17,3,0)</f>
        <v>39769</v>
      </c>
      <c r="E14" s="33" t="str">
        <f>VLOOKUP('Замовлення товарів'!$A$4,'Замовлення товарів'!$A$2:$D$17,4,0)</f>
        <v>не оплачено</v>
      </c>
      <c r="F14" s="4">
        <f>'Вміст замовлення'!C8</f>
        <v>45</v>
      </c>
      <c r="G14" s="39">
        <f>IF(F14&gt;=200,VLOOKUP('Вміст замовлення'!B8,'Довідник товарів'!$A$2:$E$12,5,0),VLOOKUP('Вміст замовлення'!B8,'Довідник товарів'!$A$2:$E$12,4,0))</f>
        <v>3</v>
      </c>
      <c r="H14" s="34">
        <f aca="true" t="shared" si="1" ref="H14:H23">G14*F14</f>
        <v>135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</row>
    <row r="15" spans="1:24" ht="12.75" outlineLevel="2">
      <c r="A15" s="13" t="str">
        <f>LOOKUP(VLOOKUP(C15,'Замовлення товарів'!$A$2:$B$17,2,0),'Довідник фірм'!$A$2:$A$5,'Довідник фірм'!$B$2:$B$5)</f>
        <v>АЛЬТАІР</v>
      </c>
      <c r="B15" s="13" t="str">
        <f>LOOKUP(VLOOKUP(C15,'Замовлення товарів'!$A$2:$B$17,2,0),'Довідник фірм'!$A$2:$A$5,'Довідник фірм'!$C$2:$C$5)</f>
        <v>442-91-74</v>
      </c>
      <c r="C15" s="4">
        <f>'Вміст замовлення'!A9</f>
        <v>3</v>
      </c>
      <c r="D15" s="33">
        <f>VLOOKUP('Замовлення товарів'!$A$4,'Замовлення товарів'!$A$2:$D$17,3,0)</f>
        <v>39769</v>
      </c>
      <c r="E15" s="33" t="str">
        <f>VLOOKUP('Замовлення товарів'!$A$4,'Замовлення товарів'!$A$2:$D$17,4,0)</f>
        <v>не оплачено</v>
      </c>
      <c r="F15" s="4">
        <f>'Вміст замовлення'!C9</f>
        <v>120</v>
      </c>
      <c r="G15" s="39">
        <f>IF(F15&gt;=200,VLOOKUP('Вміст замовлення'!B9,'Довідник товарів'!$A$2:$E$12,5,0),VLOOKUP('Вміст замовлення'!B9,'Довідник товарів'!$A$2:$E$12,4,0))</f>
        <v>6.8</v>
      </c>
      <c r="H15" s="34">
        <f t="shared" si="1"/>
        <v>816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</row>
    <row r="16" spans="1:24" ht="12.75" outlineLevel="2">
      <c r="A16" s="13" t="str">
        <f>LOOKUP(VLOOKUP(C16,'Замовлення товарів'!$A$2:$B$17,2,0),'Довідник фірм'!$A$2:$A$5,'Довідник фірм'!$B$2:$B$5)</f>
        <v>АЛЬТАІР</v>
      </c>
      <c r="B16" s="13" t="str">
        <f>LOOKUP(VLOOKUP(C16,'Замовлення товарів'!$A$2:$B$17,2,0),'Довідник фірм'!$A$2:$A$5,'Довідник фірм'!$C$2:$C$5)</f>
        <v>442-91-74</v>
      </c>
      <c r="C16" s="4">
        <f>'Вміст замовлення'!A10</f>
        <v>3</v>
      </c>
      <c r="D16" s="33">
        <f>VLOOKUP('Замовлення товарів'!$A$4,'Замовлення товарів'!$A$2:$D$17,3,0)</f>
        <v>39769</v>
      </c>
      <c r="E16" s="33" t="str">
        <f>VLOOKUP('Замовлення товарів'!$A$4,'Замовлення товарів'!$A$2:$D$17,4,0)</f>
        <v>не оплачено</v>
      </c>
      <c r="F16" s="4">
        <f>'Вміст замовлення'!C10</f>
        <v>300</v>
      </c>
      <c r="G16" s="39">
        <f>IF(F16&gt;=200,VLOOKUP('Вміст замовлення'!B10,'Довідник товарів'!$A$2:$E$12,5,0),VLOOKUP('Вміст замовлення'!B10,'Довідник товарів'!$A$2:$E$12,4,0))</f>
        <v>16.5</v>
      </c>
      <c r="H16" s="34">
        <f t="shared" si="1"/>
        <v>4950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</row>
    <row r="17" spans="1:24" ht="12.75" outlineLevel="2">
      <c r="A17" s="13" t="str">
        <f>LOOKUP(VLOOKUP(C17,'Замовлення товарів'!$A$2:$B$17,2,0),'Довідник фірм'!$A$2:$A$5,'Довідник фірм'!$B$2:$B$5)</f>
        <v>АЛЬТАІР</v>
      </c>
      <c r="B17" s="13" t="str">
        <f>LOOKUP(VLOOKUP(C17,'Замовлення товарів'!$A$2:$B$17,2,0),'Довідник фірм'!$A$2:$A$5,'Довідник фірм'!$C$2:$C$5)</f>
        <v>442-91-74</v>
      </c>
      <c r="C17" s="4">
        <f>'Вміст замовлення'!A21</f>
        <v>7</v>
      </c>
      <c r="D17" s="33">
        <f>VLOOKUP('Замовлення товарів'!$A$8,'Замовлення товарів'!$A$2:$D$17,3,0)</f>
        <v>39793</v>
      </c>
      <c r="E17" s="33">
        <f>VLOOKUP('Замовлення товарів'!$A$8,'Замовлення товарів'!$A$2:$D$17,4,0)</f>
        <v>39812</v>
      </c>
      <c r="F17" s="4">
        <f>'Вміст замовлення'!C21</f>
        <v>350</v>
      </c>
      <c r="G17" s="39">
        <f>IF(F17&gt;=200,VLOOKUP('Вміст замовлення'!B21,'Довідник товарів'!$A$2:$E$12,5,0),VLOOKUP('Вміст замовлення'!B21,'Довідник товарів'!$A$2:$E$12,4,0))</f>
        <v>5.35</v>
      </c>
      <c r="H17" s="34">
        <f t="shared" si="1"/>
        <v>1872.4999999999998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</row>
    <row r="18" spans="1:24" ht="12.75" outlineLevel="2">
      <c r="A18" s="13" t="str">
        <f>LOOKUP(VLOOKUP(C18,'Замовлення товарів'!$A$2:$B$17,2,0),'Довідник фірм'!$A$2:$A$5,'Довідник фірм'!$B$2:$B$5)</f>
        <v>АЛЬТАІР</v>
      </c>
      <c r="B18" s="13" t="str">
        <f>LOOKUP(VLOOKUP(C18,'Замовлення товарів'!$A$2:$B$17,2,0),'Довідник фірм'!$A$2:$A$5,'Довідник фірм'!$C$2:$C$5)</f>
        <v>442-91-74</v>
      </c>
      <c r="C18" s="4">
        <f>'Вміст замовлення'!A22</f>
        <v>7</v>
      </c>
      <c r="D18" s="33">
        <f>VLOOKUP('Замовлення товарів'!$A$8,'Замовлення товарів'!$A$2:$D$17,3,0)</f>
        <v>39793</v>
      </c>
      <c r="E18" s="33">
        <f>VLOOKUP('Замовлення товарів'!$A$8,'Замовлення товарів'!$A$2:$D$17,4,0)</f>
        <v>39812</v>
      </c>
      <c r="F18" s="4">
        <f>'Вміст замовлення'!C22</f>
        <v>100</v>
      </c>
      <c r="G18" s="39">
        <f>IF(F18&gt;=200,VLOOKUP('Вміст замовлення'!B22,'Довідник товарів'!$A$2:$E$12,5,0),VLOOKUP('Вміст замовлення'!B22,'Довідник товарів'!$A$2:$E$12,4,0))</f>
        <v>2.9</v>
      </c>
      <c r="H18" s="34">
        <f t="shared" si="1"/>
        <v>290</v>
      </c>
      <c r="J18" s="18"/>
      <c r="K18" s="24"/>
      <c r="L18" s="25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</row>
    <row r="19" spans="1:24" ht="12.75" outlineLevel="2">
      <c r="A19" s="13" t="str">
        <f>LOOKUP(VLOOKUP(C19,'Замовлення товарів'!$A$2:$B$17,2,0),'Довідник фірм'!$A$2:$A$5,'Довідник фірм'!$B$2:$B$5)</f>
        <v>АЛЬТАІР</v>
      </c>
      <c r="B19" s="13" t="str">
        <f>LOOKUP(VLOOKUP(C19,'Замовлення товарів'!$A$2:$B$17,2,0),'Довідник фірм'!$A$2:$A$5,'Довідник фірм'!$C$2:$C$5)</f>
        <v>442-91-74</v>
      </c>
      <c r="C19" s="4">
        <f>'Вміст замовлення'!A32</f>
        <v>11</v>
      </c>
      <c r="D19" s="33">
        <f>VLOOKUP('Замовлення товарів'!$A$12,'Замовлення товарів'!$A$2:$D$17,3,0)</f>
        <v>39819</v>
      </c>
      <c r="E19" s="33" t="str">
        <f>VLOOKUP('Замовлення товарів'!$A$12,'Замовлення товарів'!$A$2:$D$17,4,0)</f>
        <v>не оплачено</v>
      </c>
      <c r="F19" s="4">
        <f>'Вміст замовлення'!C32</f>
        <v>100</v>
      </c>
      <c r="G19" s="39">
        <f>IF(F19&gt;=200,VLOOKUP('Вміст замовлення'!B32,'Довідник товарів'!$A$2:$E$12,5,0),VLOOKUP('Вміст замовлення'!B32,'Довідник товарів'!$A$2:$E$12,4,0))</f>
        <v>3</v>
      </c>
      <c r="H19" s="34">
        <f t="shared" si="1"/>
        <v>300</v>
      </c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</row>
    <row r="20" spans="1:24" ht="12.75" outlineLevel="2">
      <c r="A20" s="13" t="str">
        <f>LOOKUP(VLOOKUP(C20,'Замовлення товарів'!$A$2:$B$17,2,0),'Довідник фірм'!$A$2:$A$5,'Довідник фірм'!$B$2:$B$5)</f>
        <v>АЛЬТАІР</v>
      </c>
      <c r="B20" s="13" t="str">
        <f>LOOKUP(VLOOKUP(C20,'Замовлення товарів'!$A$2:$B$17,2,0),'Довідник фірм'!$A$2:$A$5,'Довідник фірм'!$C$2:$C$5)</f>
        <v>442-91-74</v>
      </c>
      <c r="C20" s="4">
        <f>'Вміст замовлення'!A33</f>
        <v>11</v>
      </c>
      <c r="D20" s="33">
        <f>VLOOKUP('Замовлення товарів'!$A$12,'Замовлення товарів'!$A$2:$D$17,3,0)</f>
        <v>39819</v>
      </c>
      <c r="E20" s="33" t="str">
        <f>VLOOKUP('Замовлення товарів'!$A$12,'Замовлення товарів'!$A$2:$D$17,4,0)</f>
        <v>не оплачено</v>
      </c>
      <c r="F20" s="4">
        <f>'Вміст замовлення'!C33</f>
        <v>50</v>
      </c>
      <c r="G20" s="39">
        <f>IF(F20&gt;=200,VLOOKUP('Вміст замовлення'!B33,'Довідник товарів'!$A$2:$E$12,5,0),VLOOKUP('Вміст замовлення'!B33,'Довідник товарів'!$A$2:$E$12,4,0))</f>
        <v>5.9</v>
      </c>
      <c r="H20" s="34">
        <f t="shared" si="1"/>
        <v>295</v>
      </c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</row>
    <row r="21" spans="1:24" ht="12.75" outlineLevel="2">
      <c r="A21" s="13" t="str">
        <f>LOOKUP(VLOOKUP(C21,'Замовлення товарів'!$A$2:$B$17,2,0),'Довідник фірм'!$A$2:$A$5,'Довідник фірм'!$B$2:$B$5)</f>
        <v>АЛЬТАІР</v>
      </c>
      <c r="B21" s="13" t="str">
        <f>LOOKUP(VLOOKUP(C21,'Замовлення товарів'!$A$2:$B$17,2,0),'Довідник фірм'!$A$2:$A$5,'Довідник фірм'!$C$2:$C$5)</f>
        <v>442-91-74</v>
      </c>
      <c r="C21" s="4">
        <f>'Вміст замовлення'!A41</f>
        <v>15</v>
      </c>
      <c r="D21" s="33">
        <f>VLOOKUP('Замовлення товарів'!$A$16,'Замовлення товарів'!$A$2:$D$17,3,0)</f>
        <v>39849</v>
      </c>
      <c r="E21" s="33" t="str">
        <f>VLOOKUP('Замовлення товарів'!$A$16,'Замовлення товарів'!$A$2:$D$17,4,0)</f>
        <v>не оплачено</v>
      </c>
      <c r="F21" s="4">
        <f>'Вміст замовлення'!C41</f>
        <v>150</v>
      </c>
      <c r="G21" s="39">
        <f>IF(F21&gt;=200,VLOOKUP('Вміст замовлення'!B41,'Довідник товарів'!$A$2:$E$12,5,0),VLOOKUP('Вміст замовлення'!B41,'Довідник товарів'!$A$2:$E$12,4,0))</f>
        <v>5.9</v>
      </c>
      <c r="H21" s="34">
        <f t="shared" si="1"/>
        <v>885</v>
      </c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</row>
    <row r="22" spans="1:24" ht="12.75" outlineLevel="2">
      <c r="A22" s="13" t="str">
        <f>LOOKUP(VLOOKUP(C22,'Замовлення товарів'!$A$2:$B$17,2,0),'Довідник фірм'!$A$2:$A$5,'Довідник фірм'!$B$2:$B$5)</f>
        <v>АЛЬТАІР</v>
      </c>
      <c r="B22" s="13" t="str">
        <f>LOOKUP(VLOOKUP(C22,'Замовлення товарів'!$A$2:$B$17,2,0),'Довідник фірм'!$A$2:$A$5,'Довідник фірм'!$C$2:$C$5)</f>
        <v>442-91-74</v>
      </c>
      <c r="C22" s="4">
        <f>'Вміст замовлення'!A42</f>
        <v>15</v>
      </c>
      <c r="D22" s="33">
        <f>VLOOKUP('Замовлення товарів'!$A$16,'Замовлення товарів'!$A$2:$D$17,3,0)</f>
        <v>39849</v>
      </c>
      <c r="E22" s="33" t="str">
        <f>VLOOKUP('Замовлення товарів'!$A$16,'Замовлення товарів'!$A$2:$D$17,4,0)</f>
        <v>не оплачено</v>
      </c>
      <c r="F22" s="4">
        <f>'Вміст замовлення'!C42</f>
        <v>90</v>
      </c>
      <c r="G22" s="39">
        <f>IF(F22&gt;=200,VLOOKUP('Вміст замовлення'!B42,'Довідник товарів'!$A$2:$E$12,5,0),VLOOKUP('Вміст замовлення'!B42,'Довідник товарів'!$A$2:$E$12,4,0))</f>
        <v>3</v>
      </c>
      <c r="H22" s="34">
        <f t="shared" si="1"/>
        <v>270</v>
      </c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</row>
    <row r="23" spans="1:24" ht="12.75" outlineLevel="2">
      <c r="A23" s="13" t="str">
        <f>LOOKUP(VLOOKUP(C23,'Замовлення товарів'!$A$2:$B$17,2,0),'Довідник фірм'!$A$2:$A$5,'Довідник фірм'!$B$2:$B$5)</f>
        <v>АЛЬТАІР</v>
      </c>
      <c r="B23" s="13" t="str">
        <f>LOOKUP(VLOOKUP(C23,'Замовлення товарів'!$A$2:$B$17,2,0),'Довідник фірм'!$A$2:$A$5,'Довідник фірм'!$C$2:$C$5)</f>
        <v>442-91-74</v>
      </c>
      <c r="C23" s="4">
        <f>'Вміст замовлення'!A43</f>
        <v>15</v>
      </c>
      <c r="D23" s="33">
        <f>VLOOKUP('Замовлення товарів'!$A$16,'Замовлення товарів'!$A$2:$D$17,3,0)</f>
        <v>39849</v>
      </c>
      <c r="E23" s="33" t="str">
        <f>VLOOKUP('Замовлення товарів'!$A$16,'Замовлення товарів'!$A$2:$D$17,4,0)</f>
        <v>не оплачено</v>
      </c>
      <c r="F23" s="4">
        <f>'Вміст замовлення'!C43</f>
        <v>80</v>
      </c>
      <c r="G23" s="39">
        <f>IF(F23&gt;=200,VLOOKUP('Вміст замовлення'!B43,'Довідник товарів'!$A$2:$E$12,5,0),VLOOKUP('Вміст замовлення'!B43,'Довідник товарів'!$A$2:$E$12,4,0))</f>
        <v>6.8</v>
      </c>
      <c r="H23" s="34">
        <f t="shared" si="1"/>
        <v>544</v>
      </c>
      <c r="J23" s="18"/>
      <c r="K23" s="26"/>
      <c r="L23" s="18"/>
      <c r="M23" s="18"/>
      <c r="N23" s="27"/>
      <c r="O23" s="18"/>
      <c r="P23" s="18"/>
      <c r="Q23" s="26"/>
      <c r="R23" s="20"/>
      <c r="S23" s="18"/>
      <c r="T23" s="18"/>
      <c r="U23" s="18"/>
      <c r="V23" s="18"/>
      <c r="W23" s="18"/>
      <c r="X23" s="18"/>
    </row>
    <row r="24" spans="1:24" ht="12.75" outlineLevel="1">
      <c r="A24" s="52" t="s">
        <v>70</v>
      </c>
      <c r="B24" s="13"/>
      <c r="C24" s="4"/>
      <c r="D24" s="33"/>
      <c r="E24" s="33"/>
      <c r="F24" s="4">
        <f>SUBTOTAL(9,F14:F23)</f>
        <v>1385</v>
      </c>
      <c r="G24" s="39"/>
      <c r="H24" s="34">
        <f>SUBTOTAL(9,H14:H23)</f>
        <v>10357.5</v>
      </c>
      <c r="J24" s="18"/>
      <c r="K24" s="26"/>
      <c r="L24" s="18"/>
      <c r="M24" s="18"/>
      <c r="N24" s="27"/>
      <c r="O24" s="18"/>
      <c r="P24" s="18"/>
      <c r="Q24" s="26"/>
      <c r="R24" s="20"/>
      <c r="S24" s="18"/>
      <c r="T24" s="18"/>
      <c r="U24" s="18"/>
      <c r="V24" s="18"/>
      <c r="W24" s="18"/>
      <c r="X24" s="18"/>
    </row>
    <row r="25" spans="1:24" ht="12.75" outlineLevel="2">
      <c r="A25" s="13" t="str">
        <f>LOOKUP(VLOOKUP(C25,'Замовлення товарів'!$A$2:$B$17,2,0),'Довідник фірм'!$A$2:$A$5,'Довідник фірм'!$B$2:$B$5)</f>
        <v>Реставрація</v>
      </c>
      <c r="B25" s="13" t="str">
        <f>LOOKUP(VLOOKUP(C25,'Замовлення товарів'!$A$2:$B$17,2,0),'Довідник фірм'!$A$2:$A$5,'Довідник фірм'!$C$2:$C$5)</f>
        <v>228-06-94</v>
      </c>
      <c r="C25" s="4">
        <f>'Вміст замовлення'!A2</f>
        <v>1</v>
      </c>
      <c r="D25" s="33">
        <f>VLOOKUP('Замовлення товарів'!$A$2,'Замовлення товарів'!$A$2:$D$17,3,0)</f>
        <v>39754</v>
      </c>
      <c r="E25" s="33">
        <f>VLOOKUP('Замовлення товарів'!$A$2,'Замовлення товарів'!$A$2:$D$17,4,0)</f>
        <v>39757</v>
      </c>
      <c r="F25" s="4">
        <f>'Вміст замовлення'!C2</f>
        <v>400</v>
      </c>
      <c r="G25" s="39">
        <f>IF(F25&gt;=200,VLOOKUP('Вміст замовлення'!B2,'Довідник товарів'!$A$2:$E$12,5,0),VLOOKUP('Вміст замовлення'!B2,'Довідник товарів'!$A$2:$E$12,4,0))</f>
        <v>5.6</v>
      </c>
      <c r="H25" s="34">
        <f aca="true" t="shared" si="2" ref="H25:H36">G25*F25</f>
        <v>2240</v>
      </c>
      <c r="J25" s="18"/>
      <c r="K25" s="18"/>
      <c r="L25" s="18"/>
      <c r="M25" s="18"/>
      <c r="N25" s="28"/>
      <c r="O25" s="18"/>
      <c r="P25" s="18"/>
      <c r="Q25" s="18"/>
      <c r="R25" s="18"/>
      <c r="S25" s="18"/>
      <c r="T25" s="18"/>
      <c r="U25" s="18"/>
      <c r="V25" s="18"/>
      <c r="W25" s="18"/>
      <c r="X25" s="18"/>
    </row>
    <row r="26" spans="1:24" ht="12.75" outlineLevel="2">
      <c r="A26" s="13" t="str">
        <f>LOOKUP(VLOOKUP(C26,'Замовлення товарів'!$A$2:$B$17,2,0),'Довідник фірм'!$A$2:$A$5,'Довідник фірм'!$B$2:$B$5)</f>
        <v>Реставрація</v>
      </c>
      <c r="B26" s="13" t="str">
        <f>LOOKUP(VLOOKUP(C26,'Замовлення товарів'!$A$2:$B$17,2,0),'Довідник фірм'!$A$2:$A$5,'Довідник фірм'!$C$2:$C$5)</f>
        <v>228-06-94</v>
      </c>
      <c r="C26" s="4">
        <f>'Вміст замовлення'!A3</f>
        <v>1</v>
      </c>
      <c r="D26" s="33">
        <f>VLOOKUP('Замовлення товарів'!$A$2,'Замовлення товарів'!$A$2:$D$17,3,0)</f>
        <v>39754</v>
      </c>
      <c r="E26" s="33">
        <f>VLOOKUP('Замовлення товарів'!$A$2,'Замовлення товарів'!$A$2:$D$17,4,0)</f>
        <v>39757</v>
      </c>
      <c r="F26" s="4">
        <f>'Вміст замовлення'!C3</f>
        <v>150</v>
      </c>
      <c r="G26" s="39">
        <f>IF(F26&gt;=200,VLOOKUP('Вміст замовлення'!B3,'Довідник товарів'!$A$2:$E$12,5,0),VLOOKUP('Вміст замовлення'!B3,'Довідник товарів'!$A$2:$E$12,4,0))</f>
        <v>13.3</v>
      </c>
      <c r="H26" s="34">
        <f t="shared" si="2"/>
        <v>1995</v>
      </c>
      <c r="J26" s="18"/>
      <c r="K26" s="18"/>
      <c r="L26" s="18"/>
      <c r="M26" s="18"/>
      <c r="N26" s="28"/>
      <c r="O26" s="18"/>
      <c r="P26" s="18"/>
      <c r="Q26" s="27"/>
      <c r="R26" s="29"/>
      <c r="S26" s="18"/>
      <c r="T26" s="18"/>
      <c r="U26" s="18"/>
      <c r="V26" s="18"/>
      <c r="W26" s="18"/>
      <c r="X26" s="18"/>
    </row>
    <row r="27" spans="1:24" ht="12.75" outlineLevel="2">
      <c r="A27" s="13" t="str">
        <f>LOOKUP(VLOOKUP(C27,'Замовлення товарів'!$A$2:$B$17,2,0),'Довідник фірм'!$A$2:$A$5,'Довідник фірм'!$B$2:$B$5)</f>
        <v>Реставрація</v>
      </c>
      <c r="B27" s="13" t="str">
        <f>LOOKUP(VLOOKUP(C27,'Замовлення товарів'!$A$2:$B$17,2,0),'Довідник фірм'!$A$2:$A$5,'Довідник фірм'!$C$2:$C$5)</f>
        <v>228-06-94</v>
      </c>
      <c r="C27" s="4">
        <f>'Вміст замовлення'!A4</f>
        <v>1</v>
      </c>
      <c r="D27" s="33">
        <f>VLOOKUP('Замовлення товарів'!$A$2,'Замовлення товарів'!$A$2:$D$17,3,0)</f>
        <v>39754</v>
      </c>
      <c r="E27" s="33">
        <f>VLOOKUP('Замовлення товарів'!$A$2,'Замовлення товарів'!$A$2:$D$17,4,0)</f>
        <v>39757</v>
      </c>
      <c r="F27" s="4">
        <f>'Вміст замовлення'!C4</f>
        <v>800</v>
      </c>
      <c r="G27" s="39">
        <f>IF(F27&gt;=200,VLOOKUP('Вміст замовлення'!B4,'Довідник товарів'!$A$2:$E$12,5,0),VLOOKUP('Вміст замовлення'!B4,'Довідник товарів'!$A$2:$E$12,4,0))</f>
        <v>5.3</v>
      </c>
      <c r="H27" s="34">
        <f t="shared" si="2"/>
        <v>4240</v>
      </c>
      <c r="J27" s="18"/>
      <c r="K27" s="18"/>
      <c r="L27" s="18"/>
      <c r="M27" s="18"/>
      <c r="N27" s="28"/>
      <c r="O27" s="18"/>
      <c r="P27" s="18"/>
      <c r="Q27" s="18"/>
      <c r="R27" s="18"/>
      <c r="S27" s="18"/>
      <c r="T27" s="18"/>
      <c r="U27" s="18"/>
      <c r="V27" s="18"/>
      <c r="W27" s="18"/>
      <c r="X27" s="18"/>
    </row>
    <row r="28" spans="1:24" ht="12.75" outlineLevel="2">
      <c r="A28" s="13" t="str">
        <f>LOOKUP(VLOOKUP(C28,'Замовлення товарів'!$A$2:$B$17,2,0),'Довідник фірм'!$A$2:$A$5,'Довідник фірм'!$B$2:$B$5)</f>
        <v>Реставрація</v>
      </c>
      <c r="B28" s="13" t="str">
        <f>LOOKUP(VLOOKUP(C28,'Замовлення товарів'!$A$2:$B$17,2,0),'Довідник фірм'!$A$2:$A$5,'Довідник фірм'!$C$2:$C$5)</f>
        <v>228-06-94</v>
      </c>
      <c r="C28" s="4">
        <f>'Вміст замовлення'!A14</f>
        <v>5</v>
      </c>
      <c r="D28" s="33">
        <f>VLOOKUP('Замовлення товарів'!$A$6,'Замовлення товарів'!$A$2:$D$17,3,0)</f>
        <v>39781</v>
      </c>
      <c r="E28" s="33" t="str">
        <f>VLOOKUP('Замовлення товарів'!$A$6,'Замовлення товарів'!$A$2:$D$17,4,0)</f>
        <v>не оплачено</v>
      </c>
      <c r="F28" s="4">
        <f>'Вміст замовлення'!C14</f>
        <v>200</v>
      </c>
      <c r="G28" s="39">
        <f>IF(F28&gt;=200,VLOOKUP('Вміст замовлення'!B14,'Довідник товарів'!$A$2:$E$12,5,0),VLOOKUP('Вміст замовлення'!B14,'Довідник товарів'!$A$2:$E$12,4,0))</f>
        <v>6.7</v>
      </c>
      <c r="H28" s="34">
        <f t="shared" si="2"/>
        <v>1340</v>
      </c>
      <c r="J28" s="18"/>
      <c r="K28" s="18"/>
      <c r="L28" s="18"/>
      <c r="M28" s="18"/>
      <c r="N28" s="28"/>
      <c r="O28" s="18"/>
      <c r="P28" s="18"/>
      <c r="Q28" s="18"/>
      <c r="R28" s="18"/>
      <c r="S28" s="18"/>
      <c r="T28" s="18"/>
      <c r="U28" s="18"/>
      <c r="V28" s="18"/>
      <c r="W28" s="18"/>
      <c r="X28" s="18"/>
    </row>
    <row r="29" spans="1:24" ht="12.75" outlineLevel="2">
      <c r="A29" s="13" t="str">
        <f>LOOKUP(VLOOKUP(C29,'Замовлення товарів'!$A$2:$B$17,2,0),'Довідник фірм'!$A$2:$A$5,'Довідник фірм'!$B$2:$B$5)</f>
        <v>Реставрація</v>
      </c>
      <c r="B29" s="13" t="str">
        <f>LOOKUP(VLOOKUP(C29,'Замовлення товарів'!$A$2:$B$17,2,0),'Довідник фірм'!$A$2:$A$5,'Довідник фірм'!$C$2:$C$5)</f>
        <v>228-06-94</v>
      </c>
      <c r="C29" s="4">
        <f>'Вміст замовлення'!A15</f>
        <v>5</v>
      </c>
      <c r="D29" s="33">
        <f>VLOOKUP('Замовлення товарів'!$A$6,'Замовлення товарів'!$A$2:$D$17,3,0)</f>
        <v>39781</v>
      </c>
      <c r="E29" s="33" t="str">
        <f>VLOOKUP('Замовлення товарів'!$A$6,'Замовлення товарів'!$A$2:$D$17,4,0)</f>
        <v>не оплачено</v>
      </c>
      <c r="F29" s="4">
        <f>'Вміст замовлення'!C15</f>
        <v>50</v>
      </c>
      <c r="G29" s="39">
        <f>IF(F29&gt;=200,VLOOKUP('Вміст замовлення'!B15,'Довідник товарів'!$A$2:$E$12,5,0),VLOOKUP('Вміст замовлення'!B15,'Довідник товарів'!$A$2:$E$12,4,0))</f>
        <v>3</v>
      </c>
      <c r="H29" s="34">
        <f t="shared" si="2"/>
        <v>150</v>
      </c>
      <c r="J29" s="18"/>
      <c r="K29" s="18"/>
      <c r="L29" s="18"/>
      <c r="M29" s="18"/>
      <c r="N29" s="28"/>
      <c r="O29" s="18"/>
      <c r="P29" s="18"/>
      <c r="Q29" s="18"/>
      <c r="R29" s="18"/>
      <c r="S29" s="18"/>
      <c r="T29" s="18"/>
      <c r="U29" s="18"/>
      <c r="V29" s="18"/>
      <c r="W29" s="18"/>
      <c r="X29" s="18"/>
    </row>
    <row r="30" spans="1:24" ht="12.75" outlineLevel="2">
      <c r="A30" s="13" t="str">
        <f>LOOKUP(VLOOKUP(C30,'Замовлення товарів'!$A$2:$B$17,2,0),'Довідник фірм'!$A$2:$A$5,'Довідник фірм'!$B$2:$B$5)</f>
        <v>Реставрація</v>
      </c>
      <c r="B30" s="13" t="str">
        <f>LOOKUP(VLOOKUP(C30,'Замовлення товарів'!$A$2:$B$17,2,0),'Довідник фірм'!$A$2:$A$5,'Довідник фірм'!$C$2:$C$5)</f>
        <v>228-06-94</v>
      </c>
      <c r="C30" s="4">
        <f>'Вміст замовлення'!A16</f>
        <v>5</v>
      </c>
      <c r="D30" s="33">
        <f>VLOOKUP('Замовлення товарів'!$A$6,'Замовлення товарів'!$A$2:$D$17,3,0)</f>
        <v>39781</v>
      </c>
      <c r="E30" s="33" t="str">
        <f>VLOOKUP('Замовлення товарів'!$A$6,'Замовлення товарів'!$A$2:$D$17,4,0)</f>
        <v>не оплачено</v>
      </c>
      <c r="F30" s="4">
        <f>'Вміст замовлення'!C16</f>
        <v>250</v>
      </c>
      <c r="G30" s="39">
        <f>IF(F30&gt;=200,VLOOKUP('Вміст замовлення'!B16,'Довідник товарів'!$A$2:$E$12,5,0),VLOOKUP('Вміст замовлення'!B16,'Довідник товарів'!$A$2:$E$12,4,0))</f>
        <v>16.5</v>
      </c>
      <c r="H30" s="34">
        <f t="shared" si="2"/>
        <v>4125</v>
      </c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</row>
    <row r="31" spans="1:24" ht="12.75" outlineLevel="2">
      <c r="A31" s="13" t="str">
        <f>LOOKUP(VLOOKUP(C31,'Замовлення товарів'!$A$2:$B$17,2,0),'Довідник фірм'!$A$2:$A$5,'Довідник фірм'!$B$2:$B$5)</f>
        <v>Реставрація</v>
      </c>
      <c r="B31" s="13" t="str">
        <f>LOOKUP(VLOOKUP(C31,'Замовлення товарів'!$A$2:$B$17,2,0),'Довідник фірм'!$A$2:$A$5,'Довідник фірм'!$C$2:$C$5)</f>
        <v>228-06-94</v>
      </c>
      <c r="C31" s="4">
        <f>'Вміст замовлення'!A25</f>
        <v>9</v>
      </c>
      <c r="D31" s="33">
        <f>VLOOKUP('Замовлення товарів'!$A$10,'Замовлення товарів'!$A$2:$D$17,3,0)</f>
        <v>39807</v>
      </c>
      <c r="E31" s="33">
        <f>VLOOKUP('Замовлення товарів'!$A$10,'Замовлення товарів'!$A$2:$D$17,4,0)</f>
        <v>39818</v>
      </c>
      <c r="F31" s="4">
        <f>'Вміст замовлення'!C25</f>
        <v>130</v>
      </c>
      <c r="G31" s="39">
        <f>IF(F31&gt;=200,VLOOKUP('Вміст замовлення'!B25,'Довідник товарів'!$A$2:$E$12,5,0),VLOOKUP('Вміст замовлення'!B25,'Довідник товарів'!$A$2:$E$12,4,0))</f>
        <v>16.6</v>
      </c>
      <c r="H31" s="34">
        <f t="shared" si="2"/>
        <v>2158</v>
      </c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</row>
    <row r="32" spans="1:24" ht="12.75" outlineLevel="2">
      <c r="A32" s="13" t="str">
        <f>LOOKUP(VLOOKUP(C32,'Замовлення товарів'!$A$2:$B$17,2,0),'Довідник фірм'!$A$2:$A$5,'Довідник фірм'!$B$2:$B$5)</f>
        <v>Реставрація</v>
      </c>
      <c r="B32" s="13" t="str">
        <f>LOOKUP(VLOOKUP(C32,'Замовлення товарів'!$A$2:$B$17,2,0),'Довідник фірм'!$A$2:$A$5,'Довідник фірм'!$C$2:$C$5)</f>
        <v>228-06-94</v>
      </c>
      <c r="C32" s="4">
        <f>'Вміст замовлення'!A26</f>
        <v>9</v>
      </c>
      <c r="D32" s="33">
        <f>VLOOKUP('Замовлення товарів'!$A$10,'Замовлення товарів'!$A$2:$D$17,3,0)</f>
        <v>39807</v>
      </c>
      <c r="E32" s="33">
        <f>VLOOKUP('Замовлення товарів'!$A$10,'Замовлення товарів'!$A$2:$D$17,4,0)</f>
        <v>39818</v>
      </c>
      <c r="F32" s="4">
        <f>'Вміст замовлення'!C26</f>
        <v>240</v>
      </c>
      <c r="G32" s="39">
        <f>IF(F32&gt;=200,VLOOKUP('Вміст замовлення'!B26,'Довідник товарів'!$A$2:$E$12,5,0),VLOOKUP('Вміст замовлення'!B26,'Довідник товарів'!$A$2:$E$12,4,0))</f>
        <v>6.3</v>
      </c>
      <c r="H32" s="34">
        <f t="shared" si="2"/>
        <v>1512</v>
      </c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</row>
    <row r="33" spans="1:24" ht="12.75" outlineLevel="2">
      <c r="A33" s="13" t="str">
        <f>LOOKUP(VLOOKUP(C33,'Замовлення товарів'!$A$2:$B$17,2,0),'Довідник фірм'!$A$2:$A$5,'Довідник фірм'!$B$2:$B$5)</f>
        <v>Реставрація</v>
      </c>
      <c r="B33" s="13" t="str">
        <f>LOOKUP(VLOOKUP(C33,'Замовлення товарів'!$A$2:$B$17,2,0),'Довідник фірм'!$A$2:$A$5,'Довідник фірм'!$C$2:$C$5)</f>
        <v>228-06-94</v>
      </c>
      <c r="C33" s="4">
        <f>'Вміст замовлення'!A27</f>
        <v>9</v>
      </c>
      <c r="D33" s="33">
        <f>VLOOKUP('Замовлення товарів'!$A$10,'Замовлення товарів'!$A$2:$D$17,3,0)</f>
        <v>39807</v>
      </c>
      <c r="E33" s="33">
        <f>VLOOKUP('Замовлення товарів'!$A$10,'Замовлення товарів'!$A$2:$D$17,4,0)</f>
        <v>39818</v>
      </c>
      <c r="F33" s="4">
        <f>'Вміст замовлення'!C27</f>
        <v>360</v>
      </c>
      <c r="G33" s="39">
        <f>IF(F33&gt;=200,VLOOKUP('Вміст замовлення'!B27,'Довідник товарів'!$A$2:$E$12,5,0),VLOOKUP('Вміст замовлення'!B27,'Довідник товарів'!$A$2:$E$12,4,0))</f>
        <v>8.25</v>
      </c>
      <c r="H33" s="34">
        <f t="shared" si="2"/>
        <v>2970</v>
      </c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</row>
    <row r="34" spans="1:24" ht="12.75" outlineLevel="2">
      <c r="A34" s="13" t="str">
        <f>LOOKUP(VLOOKUP(C34,'Замовлення товарів'!$A$2:$B$17,2,0),'Довідник фірм'!$A$2:$A$5,'Довідник фірм'!$B$2:$B$5)</f>
        <v>Реставрація</v>
      </c>
      <c r="B34" s="13" t="str">
        <f>LOOKUP(VLOOKUP(C34,'Замовлення товарів'!$A$2:$B$17,2,0),'Довідник фірм'!$A$2:$A$5,'Довідник фірм'!$C$2:$C$5)</f>
        <v>228-06-94</v>
      </c>
      <c r="C34" s="4">
        <f>'Вміст замовлення'!A36</f>
        <v>13</v>
      </c>
      <c r="D34" s="33">
        <f>VLOOKUP('Замовлення товарів'!$A$14,'Замовлення товарів'!$A$2:$D$17,3,0)</f>
        <v>39834</v>
      </c>
      <c r="E34" s="33">
        <f>VLOOKUP('Замовлення товарів'!$A$14,'Замовлення товарів'!$A$2:$D$17,4,0)</f>
        <v>39851</v>
      </c>
      <c r="F34" s="4">
        <f>'Вміст замовлення'!C36</f>
        <v>50</v>
      </c>
      <c r="G34" s="39">
        <f>IF(F34&gt;=200,VLOOKUP('Вміст замовлення'!B36,'Довідник товарів'!$A$2:$E$12,5,0),VLOOKUP('Вміст замовлення'!B36,'Довідник товарів'!$A$2:$E$12,4,0))</f>
        <v>8.35</v>
      </c>
      <c r="H34" s="34">
        <f t="shared" si="2"/>
        <v>417.5</v>
      </c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</row>
    <row r="35" spans="1:8" ht="12.75" outlineLevel="2">
      <c r="A35" s="13" t="str">
        <f>LOOKUP(VLOOKUP(C35,'Замовлення товарів'!$A$2:$B$17,2,0),'Довідник фірм'!$A$2:$A$5,'Довідник фірм'!$B$2:$B$5)</f>
        <v>Реставрація</v>
      </c>
      <c r="B35" s="13" t="str">
        <f>LOOKUP(VLOOKUP(C35,'Замовлення товарів'!$A$2:$B$17,2,0),'Довідник фірм'!$A$2:$A$5,'Довідник фірм'!$C$2:$C$5)</f>
        <v>228-06-94</v>
      </c>
      <c r="C35" s="4">
        <f>'Вміст замовлення'!A37</f>
        <v>13</v>
      </c>
      <c r="D35" s="33">
        <f>VLOOKUP('Замовлення товарів'!$A$14,'Замовлення товарів'!$A$2:$D$17,3,0)</f>
        <v>39834</v>
      </c>
      <c r="E35" s="33">
        <f>VLOOKUP('Замовлення товарів'!$A$14,'Замовлення товарів'!$A$2:$D$17,4,0)</f>
        <v>39851</v>
      </c>
      <c r="F35" s="4">
        <f>'Вміст замовлення'!C37</f>
        <v>100</v>
      </c>
      <c r="G35" s="39">
        <f>IF(F35&gt;=200,VLOOKUP('Вміст замовлення'!B37,'Довідник товарів'!$A$2:$E$12,5,0),VLOOKUP('Вміст замовлення'!B37,'Довідник товарів'!$A$2:$E$12,4,0))</f>
        <v>13.3</v>
      </c>
      <c r="H35" s="34">
        <f t="shared" si="2"/>
        <v>1330</v>
      </c>
    </row>
    <row r="36" spans="1:8" ht="12.75" outlineLevel="2">
      <c r="A36" s="13" t="str">
        <f>LOOKUP(VLOOKUP(C36,'Замовлення товарів'!$A$2:$B$17,2,0),'Довідник фірм'!$A$2:$A$5,'Довідник фірм'!$B$2:$B$5)</f>
        <v>Реставрація</v>
      </c>
      <c r="B36" s="13" t="str">
        <f>LOOKUP(VLOOKUP(C36,'Замовлення товарів'!$A$2:$B$17,2,0),'Довідник фірм'!$A$2:$A$5,'Довідник фірм'!$C$2:$C$5)</f>
        <v>228-06-94</v>
      </c>
      <c r="C36" s="4">
        <f>'Вміст замовлення'!A38</f>
        <v>13</v>
      </c>
      <c r="D36" s="33">
        <f>VLOOKUP('Замовлення товарів'!$A$14,'Замовлення товарів'!$A$2:$D$17,3,0)</f>
        <v>39834</v>
      </c>
      <c r="E36" s="33">
        <f>VLOOKUP('Замовлення товарів'!$A$14,'Замовлення товарів'!$A$2:$D$17,4,0)</f>
        <v>39851</v>
      </c>
      <c r="F36" s="4">
        <f>'Вміст замовлення'!C38</f>
        <v>120</v>
      </c>
      <c r="G36" s="39">
        <f>IF(F36&gt;=200,VLOOKUP('Вміст замовлення'!B38,'Довідник товарів'!$A$2:$E$12,5,0),VLOOKUP('Вміст замовлення'!B38,'Довідник товарів'!$A$2:$E$12,4,0))</f>
        <v>6.8</v>
      </c>
      <c r="H36" s="34">
        <f t="shared" si="2"/>
        <v>816</v>
      </c>
    </row>
    <row r="37" spans="1:8" ht="12.75" outlineLevel="1">
      <c r="A37" s="52" t="s">
        <v>71</v>
      </c>
      <c r="B37" s="13"/>
      <c r="C37" s="4"/>
      <c r="D37" s="33"/>
      <c r="E37" s="33"/>
      <c r="F37" s="4">
        <f>SUBTOTAL(9,F25:F36)</f>
        <v>2850</v>
      </c>
      <c r="G37" s="39"/>
      <c r="H37" s="34">
        <f>SUBTOTAL(9,H25:H36)</f>
        <v>23293.5</v>
      </c>
    </row>
    <row r="38" spans="1:8" ht="12.75" hidden="1" outlineLevel="2">
      <c r="A38" s="13" t="str">
        <f>LOOKUP(VLOOKUP(C38,'Замовлення товарів'!$A$2:$B$17,2,0),'Довідник фірм'!$A$2:$A$5,'Довідник фірм'!$B$2:$B$5)</f>
        <v>ЮКЕН</v>
      </c>
      <c r="B38" s="13" t="str">
        <f>LOOKUP(VLOOKUP(C38,'Замовлення товарів'!$A$2:$B$17,2,0),'Довідник фірм'!$A$2:$A$5,'Довідник фірм'!$C$2:$C$5)</f>
        <v>435-61-92</v>
      </c>
      <c r="C38" s="4">
        <f>'Вміст замовлення'!A5</f>
        <v>2</v>
      </c>
      <c r="D38" s="33">
        <f>VLOOKUP('Замовлення товарів'!$A$3,'Замовлення товарів'!$A$2:$D$17,3,0)</f>
        <v>39763</v>
      </c>
      <c r="E38" s="33">
        <f>VLOOKUP('Замовлення товарів'!$A$3,'Замовлення товарів'!$A$2:$D$17,4,0)</f>
        <v>39770</v>
      </c>
      <c r="F38" s="4">
        <f>'Вміст замовлення'!C5</f>
        <v>90</v>
      </c>
      <c r="G38" s="39">
        <f>IF(F38&gt;=200,VLOOKUP('Вміст замовлення'!B5,'Довідник товарів'!$A$2:$E$12,5,0),VLOOKUP('Вміст замовлення'!B5,'Довідник товарів'!$A$2:$E$12,4,0))</f>
        <v>5.45</v>
      </c>
      <c r="H38" s="34">
        <f aca="true" t="shared" si="3" ref="H38:H50">G38*F38</f>
        <v>490.5</v>
      </c>
    </row>
    <row r="39" spans="1:8" ht="12.75" hidden="1" outlineLevel="2">
      <c r="A39" s="13" t="str">
        <f>LOOKUP(VLOOKUP(C39,'Замовлення товарів'!$A$2:$B$17,2,0),'Довідник фірм'!$A$2:$A$5,'Довідник фірм'!$B$2:$B$5)</f>
        <v>ЮКЕН</v>
      </c>
      <c r="B39" s="13" t="str">
        <f>LOOKUP(VLOOKUP(C39,'Замовлення товарів'!$A$2:$B$17,2,0),'Довідник фірм'!$A$2:$A$5,'Довідник фірм'!$C$2:$C$5)</f>
        <v>435-61-92</v>
      </c>
      <c r="C39" s="4">
        <f>'Вміст замовлення'!A6</f>
        <v>2</v>
      </c>
      <c r="D39" s="33">
        <f>VLOOKUP('Замовлення товарів'!$A$3,'Замовлення товарів'!$A$2:$D$17,3,0)</f>
        <v>39763</v>
      </c>
      <c r="E39" s="33">
        <f>VLOOKUP('Замовлення товарів'!$A$3,'Замовлення товарів'!$A$2:$D$17,4,0)</f>
        <v>39770</v>
      </c>
      <c r="F39" s="4">
        <f>'Вміст замовлення'!C6</f>
        <v>400</v>
      </c>
      <c r="G39" s="39">
        <f>IF(F39&gt;=200,VLOOKUP('Вміст замовлення'!B6,'Довідник товарів'!$A$2:$E$12,5,0),VLOOKUP('Вміст замовлення'!B6,'Довідник товарів'!$A$2:$E$12,4,0))</f>
        <v>2.8</v>
      </c>
      <c r="H39" s="34">
        <f t="shared" si="3"/>
        <v>1120</v>
      </c>
    </row>
    <row r="40" spans="1:8" ht="12.75" hidden="1" outlineLevel="2">
      <c r="A40" s="13" t="str">
        <f>LOOKUP(VLOOKUP(C40,'Замовлення товарів'!$A$2:$B$17,2,0),'Довідник фірм'!$A$2:$A$5,'Довідник фірм'!$B$2:$B$5)</f>
        <v>ЮКЕН</v>
      </c>
      <c r="B40" s="13" t="str">
        <f>LOOKUP(VLOOKUP(C40,'Замовлення товарів'!$A$2:$B$17,2,0),'Довідник фірм'!$A$2:$A$5,'Довідник фірм'!$C$2:$C$5)</f>
        <v>435-61-92</v>
      </c>
      <c r="C40" s="4">
        <f>'Вміст замовлення'!A7</f>
        <v>2</v>
      </c>
      <c r="D40" s="33">
        <f>VLOOKUP('Замовлення товарів'!$A$3,'Замовлення товарів'!$A$2:$D$17,3,0)</f>
        <v>39763</v>
      </c>
      <c r="E40" s="33">
        <f>VLOOKUP('Замовлення товарів'!$A$3,'Замовлення товарів'!$A$2:$D$17,4,0)</f>
        <v>39770</v>
      </c>
      <c r="F40" s="4">
        <f>'Вміст замовлення'!C7</f>
        <v>200</v>
      </c>
      <c r="G40" s="39">
        <f>IF(F40&gt;=200,VLOOKUP('Вміст замовлення'!B7,'Довідник товарів'!$A$2:$E$12,5,0),VLOOKUP('Вміст замовлення'!B7,'Довідник товарів'!$A$2:$E$12,4,0))</f>
        <v>5.8</v>
      </c>
      <c r="H40" s="34">
        <f t="shared" si="3"/>
        <v>1160</v>
      </c>
    </row>
    <row r="41" spans="1:8" ht="12.75" hidden="1" outlineLevel="2">
      <c r="A41" s="13" t="str">
        <f>LOOKUP(VLOOKUP(C41,'Замовлення товарів'!$A$2:$B$17,2,0),'Довідник фірм'!$A$2:$A$5,'Довідник фірм'!$B$2:$B$5)</f>
        <v>ЮКЕН</v>
      </c>
      <c r="B41" s="13" t="str">
        <f>LOOKUP(VLOOKUP(C41,'Замовлення товарів'!$A$2:$B$17,2,0),'Довідник фірм'!$A$2:$A$5,'Довідник фірм'!$C$2:$C$5)</f>
        <v>435-61-92</v>
      </c>
      <c r="C41" s="4">
        <f>'Вміст замовлення'!A17</f>
        <v>6</v>
      </c>
      <c r="D41" s="33">
        <f>VLOOKUP('Замовлення товарів'!$A$7,'Замовлення товарів'!$A$2:$D$17,3,0)</f>
        <v>39784</v>
      </c>
      <c r="E41" s="33">
        <f>VLOOKUP('Замовлення товарів'!$A$7,'Замовлення товарів'!$A$2:$D$17,4,0)</f>
        <v>39799</v>
      </c>
      <c r="F41" s="4">
        <f>'Вміст замовлення'!C17</f>
        <v>180</v>
      </c>
      <c r="G41" s="39">
        <f>IF(F41&gt;=200,VLOOKUP('Вміст замовлення'!B17,'Довідник товарів'!$A$2:$E$12,5,0),VLOOKUP('Вміст замовлення'!B17,'Довідник товарів'!$A$2:$E$12,4,0))</f>
        <v>3</v>
      </c>
      <c r="H41" s="34">
        <f t="shared" si="3"/>
        <v>540</v>
      </c>
    </row>
    <row r="42" spans="1:8" ht="12.75" hidden="1" outlineLevel="2">
      <c r="A42" s="13" t="str">
        <f>LOOKUP(VLOOKUP(C42,'Замовлення товарів'!$A$2:$B$17,2,0),'Довідник фірм'!$A$2:$A$5,'Довідник фірм'!$B$2:$B$5)</f>
        <v>ЮКЕН</v>
      </c>
      <c r="B42" s="13" t="str">
        <f>LOOKUP(VLOOKUP(C42,'Замовлення товарів'!$A$2:$B$17,2,0),'Довідник фірм'!$A$2:$A$5,'Довідник фірм'!$C$2:$C$5)</f>
        <v>435-61-92</v>
      </c>
      <c r="C42" s="4">
        <f>'Вміст замовлення'!A18</f>
        <v>6</v>
      </c>
      <c r="D42" s="33">
        <f>VLOOKUP('Замовлення товарів'!$A$7,'Замовлення товарів'!$A$2:$D$17,3,0)</f>
        <v>39784</v>
      </c>
      <c r="E42" s="33">
        <f>VLOOKUP('Замовлення товарів'!$A$7,'Замовлення товарів'!$A$2:$D$17,4,0)</f>
        <v>39799</v>
      </c>
      <c r="F42" s="4">
        <f>'Вміст замовлення'!C18</f>
        <v>200</v>
      </c>
      <c r="G42" s="39">
        <f>IF(F42&gt;=200,VLOOKUP('Вміст замовлення'!B18,'Довідник товарів'!$A$2:$E$12,5,0),VLOOKUP('Вміст замовлення'!B18,'Довідник товарів'!$A$2:$E$12,4,0))</f>
        <v>5.6</v>
      </c>
      <c r="H42" s="34">
        <f t="shared" si="3"/>
        <v>1120</v>
      </c>
    </row>
    <row r="43" spans="1:8" ht="12.75" hidden="1" outlineLevel="2">
      <c r="A43" s="13" t="str">
        <f>LOOKUP(VLOOKUP(C43,'Замовлення товарів'!$A$2:$B$17,2,0),'Довідник фірм'!$A$2:$A$5,'Довідник фірм'!$B$2:$B$5)</f>
        <v>ЮКЕН</v>
      </c>
      <c r="B43" s="13" t="str">
        <f>LOOKUP(VLOOKUP(C43,'Замовлення товарів'!$A$2:$B$17,2,0),'Довідник фірм'!$A$2:$A$5,'Довідник фірм'!$C$2:$C$5)</f>
        <v>435-61-92</v>
      </c>
      <c r="C43" s="4">
        <f>'Вміст замовлення'!A19</f>
        <v>6</v>
      </c>
      <c r="D43" s="33">
        <f>VLOOKUP('Замовлення товарів'!$A$7,'Замовлення товарів'!$A$2:$D$17,3,0)</f>
        <v>39784</v>
      </c>
      <c r="E43" s="33">
        <f>VLOOKUP('Замовлення товарів'!$A$7,'Замовлення товарів'!$A$2:$D$17,4,0)</f>
        <v>39799</v>
      </c>
      <c r="F43" s="4">
        <f>'Вміст замовлення'!C19</f>
        <v>250</v>
      </c>
      <c r="G43" s="39">
        <f>IF(F43&gt;=200,VLOOKUP('Вміст замовлення'!B19,'Довідник товарів'!$A$2:$E$12,5,0),VLOOKUP('Вміст замовлення'!B19,'Довідник товарів'!$A$2:$E$12,4,0))</f>
        <v>5.8</v>
      </c>
      <c r="H43" s="34">
        <f t="shared" si="3"/>
        <v>1450</v>
      </c>
    </row>
    <row r="44" spans="1:8" ht="12.75" hidden="1" outlineLevel="2">
      <c r="A44" s="13" t="str">
        <f>LOOKUP(VLOOKUP(C44,'Замовлення товарів'!$A$2:$B$17,2,0),'Довідник фірм'!$A$2:$A$5,'Довідник фірм'!$B$2:$B$5)</f>
        <v>ЮКЕН</v>
      </c>
      <c r="B44" s="13" t="str">
        <f>LOOKUP(VLOOKUP(C44,'Замовлення товарів'!$A$2:$B$17,2,0),'Довідник фірм'!$A$2:$A$5,'Довідник фірм'!$C$2:$C$5)</f>
        <v>435-61-92</v>
      </c>
      <c r="C44" s="4">
        <f>'Вміст замовлення'!A20</f>
        <v>6</v>
      </c>
      <c r="D44" s="33">
        <f>VLOOKUP('Замовлення товарів'!$A$7,'Замовлення товарів'!$A$2:$D$17,3,0)</f>
        <v>39784</v>
      </c>
      <c r="E44" s="33">
        <f>VLOOKUP('Замовлення товарів'!$A$7,'Замовлення товарів'!$A$2:$D$17,4,0)</f>
        <v>39799</v>
      </c>
      <c r="F44" s="4">
        <f>'Вміст замовлення'!C20</f>
        <v>300</v>
      </c>
      <c r="G44" s="39">
        <f>IF(F44&gt;=200,VLOOKUP('Вміст замовлення'!B20,'Довідник товарів'!$A$2:$E$12,5,0),VLOOKUP('Вміст замовлення'!B20,'Довідник товарів'!$A$2:$E$12,4,0))</f>
        <v>5.3</v>
      </c>
      <c r="H44" s="34">
        <f t="shared" si="3"/>
        <v>1590</v>
      </c>
    </row>
    <row r="45" spans="1:8" ht="12.75" hidden="1" outlineLevel="2">
      <c r="A45" s="13" t="str">
        <f>LOOKUP(VLOOKUP(C45,'Замовлення товарів'!$A$2:$B$17,2,0),'Довідник фірм'!$A$2:$A$5,'Довідник фірм'!$B$2:$B$5)</f>
        <v>ЮКЕН</v>
      </c>
      <c r="B45" s="13" t="str">
        <f>LOOKUP(VLOOKUP(C45,'Замовлення товарів'!$A$2:$B$17,2,0),'Довідник фірм'!$A$2:$A$5,'Довідник фірм'!$C$2:$C$5)</f>
        <v>435-61-92</v>
      </c>
      <c r="C45" s="4">
        <f>'Вміст замовлення'!A28</f>
        <v>10</v>
      </c>
      <c r="D45" s="33">
        <f>VLOOKUP('Замовлення товарів'!$A$11,'Замовлення товарів'!$A$2:$D$17,3,0)</f>
        <v>39812</v>
      </c>
      <c r="E45" s="33" t="str">
        <f>VLOOKUP('Замовлення товарів'!$A$11,'Замовлення товарів'!$A$2:$D$17,4,0)</f>
        <v>не оплачено</v>
      </c>
      <c r="F45" s="4">
        <f>'Вміст замовлення'!C28</f>
        <v>280</v>
      </c>
      <c r="G45" s="39">
        <f>IF(F45&gt;=200,VLOOKUP('Вміст замовлення'!B28,'Довідник товарів'!$A$2:$E$12,5,0),VLOOKUP('Вміст замовлення'!B28,'Довідник товарів'!$A$2:$E$12,4,0))</f>
        <v>12.8</v>
      </c>
      <c r="H45" s="34">
        <f t="shared" si="3"/>
        <v>3584</v>
      </c>
    </row>
    <row r="46" spans="1:8" ht="12.75" hidden="1" outlineLevel="2">
      <c r="A46" s="13" t="str">
        <f>LOOKUP(VLOOKUP(C46,'Замовлення товарів'!$A$2:$B$17,2,0),'Довідник фірм'!$A$2:$A$5,'Довідник фірм'!$B$2:$B$5)</f>
        <v>ЮКЕН</v>
      </c>
      <c r="B46" s="13" t="str">
        <f>LOOKUP(VLOOKUP(C46,'Замовлення товарів'!$A$2:$B$17,2,0),'Довідник фірм'!$A$2:$A$5,'Довідник фірм'!$C$2:$C$5)</f>
        <v>435-61-92</v>
      </c>
      <c r="C46" s="4">
        <f>'Вміст замовлення'!A29</f>
        <v>10</v>
      </c>
      <c r="D46" s="33">
        <f>VLOOKUP('Замовлення товарів'!$A$11,'Замовлення товарів'!$A$2:$D$17,3,0)</f>
        <v>39812</v>
      </c>
      <c r="E46" s="33" t="str">
        <f>VLOOKUP('Замовлення товарів'!$A$11,'Замовлення товарів'!$A$2:$D$17,4,0)</f>
        <v>не оплачено</v>
      </c>
      <c r="F46" s="4">
        <f>'Вміст замовлення'!C29</f>
        <v>320</v>
      </c>
      <c r="G46" s="39">
        <f>IF(F46&gt;=200,VLOOKUP('Вміст замовлення'!B29,'Довідник товарів'!$A$2:$E$12,5,0),VLOOKUP('Вміст замовлення'!B29,'Довідник товарів'!$A$2:$E$12,4,0))</f>
        <v>6.7</v>
      </c>
      <c r="H46" s="34">
        <f t="shared" si="3"/>
        <v>2144</v>
      </c>
    </row>
    <row r="47" spans="1:8" ht="12.75" hidden="1" outlineLevel="2">
      <c r="A47" s="13" t="str">
        <f>LOOKUP(VLOOKUP(C47,'Замовлення товарів'!$A$2:$B$17,2,0),'Довідник фірм'!$A$2:$A$5,'Довідник фірм'!$B$2:$B$5)</f>
        <v>ЮКЕН</v>
      </c>
      <c r="B47" s="13" t="str">
        <f>LOOKUP(VLOOKUP(C47,'Замовлення товарів'!$A$2:$B$17,2,0),'Довідник фірм'!$A$2:$A$5,'Довідник фірм'!$C$2:$C$5)</f>
        <v>435-61-92</v>
      </c>
      <c r="C47" s="4">
        <f>'Вміст замовлення'!A30</f>
        <v>10</v>
      </c>
      <c r="D47" s="33">
        <f>VLOOKUP('Замовлення товарів'!$A$11,'Замовлення товарів'!$A$2:$D$17,3,0)</f>
        <v>39812</v>
      </c>
      <c r="E47" s="33" t="str">
        <f>VLOOKUP('Замовлення товарів'!$A$11,'Замовлення товарів'!$A$2:$D$17,4,0)</f>
        <v>не оплачено</v>
      </c>
      <c r="F47" s="4">
        <f>'Вміст замовлення'!C30</f>
        <v>210</v>
      </c>
      <c r="G47" s="39">
        <f>IF(F47&gt;=200,VLOOKUP('Вміст замовлення'!B30,'Довідник товарів'!$A$2:$E$12,5,0),VLOOKUP('Вміст замовлення'!B30,'Довідник товарів'!$A$2:$E$12,4,0))</f>
        <v>2.8</v>
      </c>
      <c r="H47" s="34">
        <f t="shared" si="3"/>
        <v>588</v>
      </c>
    </row>
    <row r="48" spans="1:8" ht="12.75" hidden="1" outlineLevel="2">
      <c r="A48" s="13" t="str">
        <f>LOOKUP(VLOOKUP(C48,'Замовлення товарів'!$A$2:$B$17,2,0),'Довідник фірм'!$A$2:$A$5,'Довідник фірм'!$B$2:$B$5)</f>
        <v>ЮКЕН</v>
      </c>
      <c r="B48" s="13" t="str">
        <f>LOOKUP(VLOOKUP(C48,'Замовлення товарів'!$A$2:$B$17,2,0),'Довідник фірм'!$A$2:$A$5,'Довідник фірм'!$C$2:$C$5)</f>
        <v>435-61-92</v>
      </c>
      <c r="C48" s="4">
        <f>'Вміст замовлення'!A31</f>
        <v>10</v>
      </c>
      <c r="D48" s="33">
        <f>VLOOKUP('Замовлення товарів'!$A$11,'Замовлення товарів'!$A$2:$D$17,3,0)</f>
        <v>39812</v>
      </c>
      <c r="E48" s="33" t="str">
        <f>VLOOKUP('Замовлення товарів'!$A$11,'Замовлення товарів'!$A$2:$D$17,4,0)</f>
        <v>не оплачено</v>
      </c>
      <c r="F48" s="4">
        <f>'Вміст замовлення'!C31</f>
        <v>160</v>
      </c>
      <c r="G48" s="39">
        <f>IF(F48&gt;=200,VLOOKUP('Вміст замовлення'!B31,'Довідник товарів'!$A$2:$E$12,5,0),VLOOKUP('Вміст замовлення'!B31,'Довідник товарів'!$A$2:$E$12,4,0))</f>
        <v>16.6</v>
      </c>
      <c r="H48" s="34">
        <f t="shared" si="3"/>
        <v>2656</v>
      </c>
    </row>
    <row r="49" spans="1:8" ht="12.75" hidden="1" outlineLevel="2">
      <c r="A49" s="13" t="str">
        <f>LOOKUP(VLOOKUP(C49,'Замовлення товарів'!$A$2:$B$17,2,0),'Довідник фірм'!$A$2:$A$5,'Довідник фірм'!$B$2:$B$5)</f>
        <v>ЮКЕН</v>
      </c>
      <c r="B49" s="13" t="str">
        <f>LOOKUP(VLOOKUP(C49,'Замовлення товарів'!$A$2:$B$17,2,0),'Довідник фірм'!$A$2:$A$5,'Довідник фірм'!$C$2:$C$5)</f>
        <v>435-61-92</v>
      </c>
      <c r="C49" s="4">
        <f>'Вміст замовлення'!A39</f>
        <v>14</v>
      </c>
      <c r="D49" s="33">
        <f>VLOOKUP('Замовлення товарів'!$A$15,'Замовлення товарів'!$A$2:$D$17,3,0)</f>
        <v>39844</v>
      </c>
      <c r="E49" s="33">
        <f>VLOOKUP('Замовлення товарів'!$A$15,'Замовлення товарів'!$A$2:$D$17,4,0)</f>
        <v>39856</v>
      </c>
      <c r="F49" s="4">
        <f>'Вміст замовлення'!C39</f>
        <v>190</v>
      </c>
      <c r="G49" s="39">
        <f>IF(F49&gt;=200,VLOOKUP('Вміст замовлення'!B39,'Довідник товарів'!$A$2:$E$12,5,0),VLOOKUP('Вміст замовлення'!B39,'Довідник товарів'!$A$2:$E$12,4,0))</f>
        <v>3</v>
      </c>
      <c r="H49" s="34">
        <f t="shared" si="3"/>
        <v>570</v>
      </c>
    </row>
    <row r="50" spans="1:8" ht="12.75" hidden="1" outlineLevel="2">
      <c r="A50" s="13" t="str">
        <f>LOOKUP(VLOOKUP(C50,'Замовлення товарів'!$A$2:$B$17,2,0),'Довідник фірм'!$A$2:$A$5,'Довідник фірм'!$B$2:$B$5)</f>
        <v>ЮКЕН</v>
      </c>
      <c r="B50" s="13" t="str">
        <f>LOOKUP(VLOOKUP(C50,'Замовлення товарів'!$A$2:$B$17,2,0),'Довідник фірм'!$A$2:$A$5,'Довідник фірм'!$C$2:$C$5)</f>
        <v>435-61-92</v>
      </c>
      <c r="C50" s="4">
        <f>'Вміст замовлення'!A40</f>
        <v>14</v>
      </c>
      <c r="D50" s="33">
        <f>VLOOKUP('Замовлення товарів'!$A$15,'Замовлення товарів'!$A$2:$D$17,3,0)</f>
        <v>39844</v>
      </c>
      <c r="E50" s="33">
        <f>VLOOKUP('Замовлення товарів'!$A$15,'Замовлення товарів'!$A$2:$D$17,4,0)</f>
        <v>39856</v>
      </c>
      <c r="F50" s="4">
        <f>'Вміст замовлення'!C40</f>
        <v>200</v>
      </c>
      <c r="G50" s="39">
        <f>IF(F50&gt;=200,VLOOKUP('Вміст замовлення'!B40,'Довідник товарів'!$A$2:$E$12,5,0),VLOOKUP('Вміст замовлення'!B40,'Довідник товарів'!$A$2:$E$12,4,0))</f>
        <v>5.6</v>
      </c>
      <c r="H50" s="34">
        <f t="shared" si="3"/>
        <v>1120</v>
      </c>
    </row>
    <row r="51" spans="1:8" ht="12.75" outlineLevel="1" collapsed="1">
      <c r="A51" s="20" t="s">
        <v>72</v>
      </c>
      <c r="B51" s="18"/>
      <c r="C51" s="44"/>
      <c r="D51" s="35"/>
      <c r="E51" s="35"/>
      <c r="F51" s="44">
        <f>SUBTOTAL(9,F38:F50)</f>
        <v>2980</v>
      </c>
      <c r="G51" s="46"/>
      <c r="H51" s="28">
        <f>SUBTOTAL(9,H38:H50)</f>
        <v>18132.5</v>
      </c>
    </row>
    <row r="52" spans="1:8" ht="12.75">
      <c r="A52" s="20" t="s">
        <v>60</v>
      </c>
      <c r="B52" s="18"/>
      <c r="C52" s="44"/>
      <c r="D52" s="35"/>
      <c r="E52" s="35"/>
      <c r="F52" s="44">
        <f>SUBTOTAL(9,F3:F50)</f>
        <v>9375</v>
      </c>
      <c r="G52" s="46"/>
      <c r="H52" s="28">
        <f>SUBTOTAL(9,H3:H50)</f>
        <v>72338.5</v>
      </c>
    </row>
  </sheetData>
  <sheetProtection/>
  <mergeCells count="1">
    <mergeCell ref="B1:H1"/>
  </mergeCells>
  <dataValidations count="1">
    <dataValidation type="list" allowBlank="1" showInputMessage="1" showErrorMessage="1" sqref="R23">
      <formula1>$K$25:$K$29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AdminT</cp:lastModifiedBy>
  <dcterms:created xsi:type="dcterms:W3CDTF">2016-09-17T14:10:19Z</dcterms:created>
  <dcterms:modified xsi:type="dcterms:W3CDTF">2016-09-22T04:49:41Z</dcterms:modified>
  <cp:category/>
  <cp:version/>
  <cp:contentType/>
  <cp:contentStatus/>
</cp:coreProperties>
</file>